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zFz3vhYx4OyTpLoDPmILS0wufpkZ1WGNxUZR4cSXJDRRLB6v54IsBFiZNR9fZdyJ50jwBENbmIKboB6YsC4zQ==" workbookSaltValue="D2oHgsqztYtqtq8vJbyR5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AA18" i="16" s="1"/>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U10" i="17"/>
  <c r="BU18" i="17"/>
  <c r="BU17" i="17"/>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F14" i="7"/>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S25" i="17"/>
  <c r="AA29" i="16"/>
  <c r="BV20" i="16"/>
  <c r="S11" i="17"/>
  <c r="BV10" i="16"/>
  <c r="BW16" i="20"/>
  <c r="BW17" i="20"/>
  <c r="BU21" i="17"/>
  <c r="BU11" i="17"/>
  <c r="BJ28" i="11"/>
  <c r="AZ9" i="11"/>
  <c r="AZ14" i="11" s="1"/>
  <c r="AZ13" i="11"/>
  <c r="BI19" i="11"/>
  <c r="BI25" i="11"/>
  <c r="BG22" i="11"/>
  <c r="Q18" i="20"/>
  <c r="Q23" i="20" s="1"/>
  <c r="V16" i="11"/>
  <c r="Z14"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U26" i="17"/>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<sst xmlns="http://schemas.openxmlformats.org/spreadsheetml/2006/main" count="2682" uniqueCount="1193">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</sst>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G+taw9Jd4XmPuWVFNv56WkYCLvP56VYGDtRwWQulNmlVpJxC596yLvvRap/AJpCbJLNjorSkxZaxHS23rERuw==" saltValue="eT9qLgVy8zHTikndJD6q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82</v>
      </c>
      <c r="D10" s="239">
        <f>IF(ISNUMBER(Datos!I10),Datos!I10," - ")</f>
        <v>82</v>
      </c>
      <c r="E10" s="240">
        <f>IF(ISNUMBER(Datos!J10),Datos!J10," - ")</f>
        <v>58</v>
      </c>
      <c r="F10" s="240">
        <f>IF(ISNUMBER(Datos!K10),Datos!K10," - ")</f>
        <v>49</v>
      </c>
      <c r="G10" s="1390" t="str">
        <f>IF(Datos!E10&lt;&gt;"",Datos!E10,Datos!D10)</f>
        <v>37</v>
      </c>
      <c r="H10" s="241">
        <f>IF(ISNUMBER(Datos!L10),Datos!L10," - ")</f>
        <v>91</v>
      </c>
      <c r="I10" s="1400" t="str">
        <f>IF(ISNUMBER(Datos!AS10/Datos!BM10),Datos!AS10/Datos!BM10," - ")</f>
        <v xml:space="preserve"> - </v>
      </c>
      <c r="J10" s="1401">
        <f>IF(ISNUMBER(Datos!BY10/Datos!CN10),Datos!BY10/Datos!CN10," - ")</f>
        <v>0</v>
      </c>
      <c r="K10" s="244">
        <f t="shared" ref="K10:K13" si="1">IF(ISNUMBER((E10-F10)/C10),(E10-F10)/C10," - ")</f>
        <v>0.10975609756097561</v>
      </c>
      <c r="L10" s="1402">
        <f>IF(ISNUMBER(NºAsuntos!I10/NºAsuntos!G10),(NºAsuntos!I10/NºAsuntos!G10)*11," - ")</f>
        <v>20.428571428571431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14.707240798652874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82</v>
      </c>
      <c r="D14" s="1407">
        <f>SUBTOTAL(9,D9:D13)</f>
        <v>82</v>
      </c>
      <c r="E14" s="1408">
        <f>SUBTOTAL(9,E9:E13)</f>
        <v>58</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2784</v>
      </c>
      <c r="D17" s="239">
        <f>IF(ISNUMBER(IF(D_I="SI",Datos!I17,Datos!I17+Datos!AC17)),IF(D_I="SI",Datos!I17,Datos!I17+Datos!AC17)," - ")</f>
        <v>2753</v>
      </c>
      <c r="E17" s="240">
        <f>IF(ISNUMBER(IF(D_I="SI",Datos!J17,Datos!J17+Datos!AD17)),IF(D_I="SI",Datos!J17,Datos!J17+Datos!AD17)," - ")</f>
        <v>5896</v>
      </c>
      <c r="F17" s="240">
        <f>IF(ISNUMBER(IF(D_I="SI",Datos!K17,Datos!K17+Datos!AE17)),IF(D_I="SI",Datos!K17,Datos!K17+Datos!AE17)," - ")</f>
        <v>5903</v>
      </c>
      <c r="G17" s="1390" t="str">
        <f>IF(Datos!E17&lt;&gt;"",Datos!E17,Datos!D17)</f>
        <v>04</v>
      </c>
      <c r="H17" s="241">
        <f>IF(ISNUMBER(IF(D_I="SI",Datos!L17,Datos!L17+Datos!AF17)),IF(D_I="SI",Datos!L17,Datos!L17+Datos!AF17)," - ")</f>
        <v>2777</v>
      </c>
      <c r="I17" s="1400" t="str">
        <f>IF(ISNUMBER(Datos!AS17/Datos!BM17),Datos!AS17/Datos!BM17," - ")</f>
        <v xml:space="preserve"> - </v>
      </c>
      <c r="J17" s="1401">
        <f>IF(ISNUMBER(Datos!BY17/Datos!CN17),Datos!BY17/Datos!CN17," - ")</f>
        <v>0</v>
      </c>
      <c r="K17" s="244">
        <f t="shared" si="3"/>
        <v>-2.514367816091954E-3</v>
      </c>
      <c r="L17" s="1402">
        <f>IF(ISNUMBER(NºAsuntos!I17/NºAsuntos!G17),(NºAsuntos!I17/NºAsuntos!G17)*11," - ")</f>
        <v>5.1748263594782316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383</v>
      </c>
      <c r="D18" s="239">
        <f>IF(ISNUMBER(IF(D_I="SI",Datos!I18,Datos!I18+Datos!AC18)),IF(D_I="SI",Datos!I18,Datos!I18+Datos!AC18)," - ")</f>
        <v>397</v>
      </c>
      <c r="E18" s="240">
        <f>IF(ISNUMBER(IF(D_I="SI",Datos!J18,Datos!J18+Datos!AD18)),IF(D_I="SI",Datos!J18,Datos!J18+Datos!AD18)," - ")</f>
        <v>625</v>
      </c>
      <c r="F18" s="240">
        <f>IF(ISNUMBER(IF(D_I="SI",Datos!K18,Datos!K18+Datos!AE18)),IF(D_I="SI",Datos!K18,Datos!K18+Datos!AE18)," - ")</f>
        <v>688</v>
      </c>
      <c r="G18" s="1390" t="str">
        <f>IF(Datos!E18&lt;&gt;"",Datos!E18,Datos!D18)</f>
        <v>37</v>
      </c>
      <c r="H18" s="241">
        <f>IF(ISNUMBER(IF(D_I="SI",Datos!L18,Datos!L18+Datos!AF18)),IF(D_I="SI",Datos!L18,Datos!L18+Datos!AF18)," - ")</f>
        <v>320</v>
      </c>
      <c r="I18" s="1400" t="str">
        <f>IF(ISNUMBER(Datos!AS18/Datos!BM18),Datos!AS18/Datos!BM18," - ")</f>
        <v xml:space="preserve"> - </v>
      </c>
      <c r="J18" s="1401" t="str">
        <f>IF(ISNUMBER((Datos!BY18+Datos!BZ18)/Datos!CN18),(Datos!BY18+Datos!BZ18)/Datos!CN18," - ")</f>
        <v xml:space="preserve"> - </v>
      </c>
      <c r="K18" s="244">
        <f t="shared" si="3"/>
        <v>-0.16449086161879894</v>
      </c>
      <c r="L18" s="1402">
        <f>IF(ISNUMBER(NºAsuntos!I18/NºAsuntos!G18),(NºAsuntos!I18/NºAsuntos!G18)*11," - ")</f>
        <v>5.1162790697674421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3167</v>
      </c>
      <c r="D23" s="1407">
        <f>SUBTOTAL(9,D16:D22)</f>
        <v>3150</v>
      </c>
      <c r="E23" s="1408">
        <f>SUBTOTAL(9,E16:E22)</f>
        <v>6521</v>
      </c>
      <c r="F23" s="1408">
        <f>SUBTOTAL(9,F16:F22)</f>
        <v>6591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3249</v>
      </c>
      <c r="D31" s="1435">
        <f>SUBTOTAL(9,D9:D30)</f>
        <v>3232</v>
      </c>
      <c r="E31" s="1436">
        <f>SUBTOTAL(9,E9:E30)</f>
        <v>6579</v>
      </c>
      <c r="F31" s="1436">
        <f>SUBTOTAL(9,F9:F30)</f>
        <v>6640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o90FPg4Ka5P3r7T4pYo569ptktPGYvNZycxowfcAyKpiHbANqnC4rBeQG+S6QupU+R0tFRMzOWK9ex9u/SSvg==" saltValue="vcrU0wpd/NhHXA8HQPI5I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HnCz7vgejdymZdRidku/QL7zqBOToAc1Qnp/Any14l3m4r9OVYC3GRPYnuB0S54BAEhSbTEB54xjX80RwJfCQ==" saltValue="Yh3yXhI45VumngSJKpOw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82</v>
      </c>
      <c r="J10" s="194">
        <v>58</v>
      </c>
      <c r="K10" s="194">
        <v>49</v>
      </c>
      <c r="L10" s="194">
        <v>91</v>
      </c>
      <c r="M10" s="194">
        <v>19</v>
      </c>
      <c r="N10" s="194">
        <v>12</v>
      </c>
      <c r="O10" s="194">
        <v>9</v>
      </c>
      <c r="P10" s="194">
        <v>2</v>
      </c>
      <c r="Q10" s="194">
        <v>1</v>
      </c>
      <c r="R10" s="194">
        <v>47</v>
      </c>
      <c r="S10" s="194">
        <v>89</v>
      </c>
      <c r="T10" s="194">
        <v>79</v>
      </c>
      <c r="U10" s="194">
        <v>84</v>
      </c>
      <c r="V10" s="194">
        <v>82</v>
      </c>
      <c r="W10" s="194">
        <v>32</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89</v>
      </c>
      <c r="AZ10" s="139">
        <f t="shared" si="0"/>
        <v>79</v>
      </c>
      <c r="BA10" s="139">
        <f t="shared" si="0"/>
        <v>84</v>
      </c>
      <c r="BB10" s="139">
        <f t="shared" si="0"/>
        <v>82</v>
      </c>
      <c r="BC10" s="135">
        <f t="shared" si="0"/>
        <v>32</v>
      </c>
      <c r="BD10" s="136">
        <f>IF(ISNUMBER(BA10/AZ10),BA10/AZ10," - ")</f>
        <v>1.0632911392405062</v>
      </c>
      <c r="BE10" s="137">
        <f>IF(ISNUMBER(BB10/BA10),BB10/BA10, " - ")</f>
        <v>0.97619047619047616</v>
      </c>
      <c r="BF10" s="137">
        <f>IF(ISNUMBER(BC10/BA10),BC10/BA10, " - ")</f>
        <v>0.38095238095238093</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4561</v>
      </c>
      <c r="J12" s="196">
        <v>4850</v>
      </c>
      <c r="K12" s="196">
        <v>3933</v>
      </c>
      <c r="L12" s="196">
        <v>5473</v>
      </c>
      <c r="M12" s="196">
        <v>949</v>
      </c>
      <c r="N12" s="196">
        <v>1410</v>
      </c>
      <c r="O12" s="194">
        <v>1619</v>
      </c>
      <c r="P12" s="196">
        <v>1019</v>
      </c>
      <c r="Q12" s="196">
        <v>544</v>
      </c>
      <c r="R12" s="196">
        <v>9697</v>
      </c>
      <c r="S12" s="196">
        <v>4305</v>
      </c>
      <c r="T12" s="196">
        <v>4027</v>
      </c>
      <c r="U12" s="196">
        <v>3829</v>
      </c>
      <c r="V12" s="196">
        <v>4561</v>
      </c>
      <c r="W12" s="196">
        <v>719</v>
      </c>
      <c r="X12" s="202">
        <v>1494</v>
      </c>
      <c r="Y12" s="204">
        <v>67</v>
      </c>
      <c r="Z12" s="194">
        <v>242</v>
      </c>
      <c r="AA12" s="194">
        <v>224</v>
      </c>
      <c r="AB12" s="194">
        <v>85</v>
      </c>
      <c r="AC12" s="196">
        <v>0</v>
      </c>
      <c r="AD12" s="196">
        <v>0</v>
      </c>
      <c r="AE12" s="196">
        <v>0</v>
      </c>
      <c r="AF12" s="202">
        <v>0</v>
      </c>
      <c r="AG12" s="215">
        <v>88</v>
      </c>
      <c r="AH12" s="196">
        <v>231</v>
      </c>
      <c r="AI12" s="196">
        <v>269</v>
      </c>
      <c r="AJ12" s="216">
        <v>67</v>
      </c>
      <c r="AK12" s="195">
        <v>0</v>
      </c>
      <c r="AL12" s="196">
        <v>0</v>
      </c>
      <c r="AM12" s="196">
        <v>0</v>
      </c>
      <c r="AN12" s="202">
        <v>0</v>
      </c>
      <c r="AO12" s="283">
        <v>6</v>
      </c>
      <c r="AP12" s="168">
        <v>6</v>
      </c>
      <c r="AQ12" s="168">
        <v>6</v>
      </c>
      <c r="AR12" s="167">
        <v>6</v>
      </c>
      <c r="AS12" s="381" t="s">
        <v>1075</v>
      </c>
      <c r="AT12" s="216"/>
      <c r="AU12" s="215"/>
      <c r="AV12" s="216"/>
      <c r="AW12" s="215"/>
      <c r="AX12" s="216"/>
      <c r="AY12" s="136">
        <f t="shared" si="1"/>
        <v>4393</v>
      </c>
      <c r="AZ12" s="137">
        <f t="shared" si="1"/>
        <v>4258</v>
      </c>
      <c r="BA12" s="137">
        <f t="shared" si="1"/>
        <v>4098</v>
      </c>
      <c r="BB12" s="137">
        <f t="shared" si="1"/>
        <v>4628</v>
      </c>
      <c r="BC12" s="135">
        <f>IF(ISNUMBER(X12),X12," - ")</f>
        <v>1494</v>
      </c>
      <c r="BD12" s="136">
        <f t="shared" si="2"/>
        <v>0.96242367308595589</v>
      </c>
      <c r="BE12" s="137">
        <f t="shared" si="3"/>
        <v>1.1293313811615422</v>
      </c>
      <c r="BF12" s="137">
        <f t="shared" si="4"/>
        <v>0.36456808199121521</v>
      </c>
      <c r="BG12" s="209">
        <f t="shared" si="5"/>
        <v>2.1110297706198144</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4643</v>
      </c>
      <c r="J14" s="197">
        <f t="shared" si="7"/>
        <v>4908</v>
      </c>
      <c r="K14" s="197">
        <f t="shared" si="7"/>
        <v>3982</v>
      </c>
      <c r="L14" s="197">
        <f t="shared" si="7"/>
        <v>5564</v>
      </c>
      <c r="M14" s="197">
        <f t="shared" si="7"/>
        <v>968</v>
      </c>
      <c r="N14" s="197">
        <f t="shared" si="7"/>
        <v>1422</v>
      </c>
      <c r="O14" s="197">
        <f t="shared" si="7"/>
        <v>1628</v>
      </c>
      <c r="P14" s="197">
        <f t="shared" si="7"/>
        <v>1021</v>
      </c>
      <c r="Q14" s="197">
        <f t="shared" si="7"/>
        <v>545</v>
      </c>
      <c r="R14" s="197">
        <f t="shared" si="7"/>
        <v>9744</v>
      </c>
      <c r="S14" s="197">
        <f t="shared" si="7"/>
        <v>4394</v>
      </c>
      <c r="T14" s="197">
        <f t="shared" si="7"/>
        <v>4106</v>
      </c>
      <c r="U14" s="197">
        <f t="shared" si="7"/>
        <v>3913</v>
      </c>
      <c r="V14" s="197">
        <f t="shared" si="7"/>
        <v>4643</v>
      </c>
      <c r="W14" s="197">
        <f t="shared" si="7"/>
        <v>751</v>
      </c>
      <c r="X14" s="197">
        <f t="shared" si="7"/>
        <v>1510</v>
      </c>
      <c r="Y14" s="197">
        <f t="shared" si="7"/>
        <v>67</v>
      </c>
      <c r="Z14" s="197">
        <f t="shared" si="7"/>
        <v>242</v>
      </c>
      <c r="AA14" s="197">
        <f t="shared" si="7"/>
        <v>224</v>
      </c>
      <c r="AB14" s="197">
        <f t="shared" si="7"/>
        <v>85</v>
      </c>
      <c r="AC14" s="197">
        <f t="shared" si="7"/>
        <v>0</v>
      </c>
      <c r="AD14" s="197">
        <f t="shared" si="7"/>
        <v>0</v>
      </c>
      <c r="AE14" s="197">
        <f t="shared" si="7"/>
        <v>0</v>
      </c>
      <c r="AF14" s="197">
        <f>SUBTOTAL(9,AF9:AF13)</f>
        <v>0</v>
      </c>
      <c r="AG14" s="197">
        <f t="shared" ref="AG14:AT14" si="8">SUBTOTAL(9,AG8:AG13)</f>
        <v>88</v>
      </c>
      <c r="AH14" s="197">
        <f t="shared" si="8"/>
        <v>231</v>
      </c>
      <c r="AI14" s="197">
        <f t="shared" si="8"/>
        <v>269</v>
      </c>
      <c r="AJ14" s="197">
        <f t="shared" si="8"/>
        <v>67</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4482</v>
      </c>
      <c r="AZ14" s="197">
        <f>SUBTOTAL(9,AZ8:AZ13)</f>
        <v>4337</v>
      </c>
      <c r="BA14" s="197">
        <f>SUBTOTAL(9,BA8:BA13)</f>
        <v>4182</v>
      </c>
      <c r="BB14" s="197">
        <f>SUBTOTAL(9,BB8:BB13)</f>
        <v>4710</v>
      </c>
      <c r="BC14" s="197">
        <f>SUBTOTAL(9,BC8:BC13)</f>
        <v>1526</v>
      </c>
      <c r="BD14" s="219">
        <f>IF(ISNUMBER(BA14/AZ14),BA14/AZ14," - ")</f>
        <v>0.96426100991468755</v>
      </c>
      <c r="BE14" s="220">
        <f>IF(ISNUMBER(BB14/BA14),BB14/BA14, " - ")</f>
        <v>1.1262553802008608</v>
      </c>
      <c r="BF14" s="220">
        <f>IF(ISNUMBER(BC14/BA14),BC14/BA14, " - ")</f>
        <v>0.36489717838354851</v>
      </c>
      <c r="BG14" s="221">
        <f>IF(ISNUMBER((AY14+AZ14)/BA14),(AY14+AZ14)/BA14," - ")</f>
        <v>2.1087996174079389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2753</v>
      </c>
      <c r="J17" s="196">
        <v>5896</v>
      </c>
      <c r="K17" s="196">
        <v>5903</v>
      </c>
      <c r="L17" s="196">
        <v>2777</v>
      </c>
      <c r="M17" s="196">
        <v>852</v>
      </c>
      <c r="N17" s="196">
        <v>3184</v>
      </c>
      <c r="O17" s="194">
        <v>12</v>
      </c>
      <c r="P17" s="196">
        <v>116</v>
      </c>
      <c r="Q17" s="196">
        <v>99</v>
      </c>
      <c r="R17" s="196">
        <v>349</v>
      </c>
      <c r="S17" s="196">
        <v>3042</v>
      </c>
      <c r="T17" s="196">
        <v>5517</v>
      </c>
      <c r="U17" s="196">
        <v>5735</v>
      </c>
      <c r="V17" s="196">
        <v>2753</v>
      </c>
      <c r="W17" s="196">
        <v>982</v>
      </c>
      <c r="X17" s="202">
        <v>3058</v>
      </c>
      <c r="Y17" s="215">
        <v>0</v>
      </c>
      <c r="Z17" s="196">
        <v>0</v>
      </c>
      <c r="AA17" s="196">
        <v>0</v>
      </c>
      <c r="AB17" s="196">
        <v>0</v>
      </c>
      <c r="AC17" s="196">
        <v>15</v>
      </c>
      <c r="AD17" s="196">
        <v>275</v>
      </c>
      <c r="AE17" s="196">
        <v>288</v>
      </c>
      <c r="AF17" s="202">
        <v>2</v>
      </c>
      <c r="AG17" s="215">
        <v>0</v>
      </c>
      <c r="AH17" s="196">
        <v>0</v>
      </c>
      <c r="AI17" s="196">
        <v>0</v>
      </c>
      <c r="AJ17" s="216">
        <v>0</v>
      </c>
      <c r="AK17" s="195">
        <v>4</v>
      </c>
      <c r="AL17" s="196">
        <v>286</v>
      </c>
      <c r="AM17" s="196">
        <v>275</v>
      </c>
      <c r="AN17" s="202">
        <v>15</v>
      </c>
      <c r="AO17" s="283">
        <v>6</v>
      </c>
      <c r="AP17" s="168">
        <v>6</v>
      </c>
      <c r="AQ17" s="168">
        <v>6</v>
      </c>
      <c r="AR17" s="168">
        <v>6</v>
      </c>
      <c r="AS17" s="381" t="s">
        <v>650</v>
      </c>
      <c r="AT17" s="216"/>
      <c r="AU17" s="215"/>
      <c r="AV17" s="216"/>
      <c r="AW17" s="215"/>
      <c r="AX17" s="216"/>
      <c r="AY17" s="136">
        <f t="shared" si="10"/>
        <v>3042</v>
      </c>
      <c r="AZ17" s="137">
        <f t="shared" si="10"/>
        <v>5517</v>
      </c>
      <c r="BA17" s="137">
        <f t="shared" si="10"/>
        <v>5735</v>
      </c>
      <c r="BB17" s="137">
        <f t="shared" si="10"/>
        <v>2753</v>
      </c>
      <c r="BC17" s="135">
        <f>IF(ISNUMBER(W17),W17," - ")</f>
        <v>982</v>
      </c>
      <c r="BD17" s="136">
        <f t="shared" ref="BD17:BD22" si="12">IF(ISNUMBER(BA17/AZ17),BA17/AZ17," - ")</f>
        <v>1.0395142287475077</v>
      </c>
      <c r="BE17" s="137">
        <f t="shared" ref="BE17:BE22" si="13">IF(ISNUMBER(BB17/BA17),BB17/BA17, " - ")</f>
        <v>0.48003487358326069</v>
      </c>
      <c r="BF17" s="137">
        <f t="shared" ref="BF17:BF22" si="14">IF(ISNUMBER(BC17/BA17),BC17/BA17, " - ")</f>
        <v>0.17122929380993898</v>
      </c>
      <c r="BG17" s="209">
        <f t="shared" si="11"/>
        <v>1.4924149956408022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397</v>
      </c>
      <c r="J18" s="196">
        <v>625</v>
      </c>
      <c r="K18" s="196">
        <v>688</v>
      </c>
      <c r="L18" s="196">
        <v>320</v>
      </c>
      <c r="M18" s="196">
        <v>27</v>
      </c>
      <c r="N18" s="196">
        <v>350</v>
      </c>
      <c r="O18" s="196">
        <v>0</v>
      </c>
      <c r="P18" s="196">
        <v>0</v>
      </c>
      <c r="Q18" s="196">
        <v>0</v>
      </c>
      <c r="R18" s="196">
        <v>2</v>
      </c>
      <c r="S18" s="196">
        <v>420</v>
      </c>
      <c r="T18" s="196">
        <v>565</v>
      </c>
      <c r="U18" s="196">
        <v>590</v>
      </c>
      <c r="V18" s="196">
        <v>397</v>
      </c>
      <c r="W18" s="196">
        <v>22</v>
      </c>
      <c r="X18" s="202">
        <v>294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420</v>
      </c>
      <c r="AZ18" s="139">
        <f t="shared" si="15"/>
        <v>565</v>
      </c>
      <c r="BA18" s="139">
        <f t="shared" si="15"/>
        <v>590</v>
      </c>
      <c r="BB18" s="139">
        <f t="shared" si="15"/>
        <v>397</v>
      </c>
      <c r="BC18" s="135">
        <f>IF(ISNUMBER(W18),W18," - ")</f>
        <v>22</v>
      </c>
      <c r="BD18" s="136">
        <f>IF(ISNUMBER(BA18/AZ18),BA18/AZ18," - ")</f>
        <v>1.0442477876106195</v>
      </c>
      <c r="BE18" s="137">
        <f>IF(ISNUMBER(BB18/BA18),BB18/BA18, " - ")</f>
        <v>0.67288135593220344</v>
      </c>
      <c r="BF18" s="137">
        <f>IF(ISNUMBER(BC18/BA18),BC18/BA18, " - ")</f>
        <v>3.7288135593220341E-2</v>
      </c>
      <c r="BG18" s="209">
        <f>IF(ISNUMBER((AY18+AZ18)/BA18),(AY18+AZ18)/BA18," - ")</f>
        <v>1.6694915254237288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3150</v>
      </c>
      <c r="J23" s="197">
        <f t="shared" si="21"/>
        <v>6521</v>
      </c>
      <c r="K23" s="197">
        <f t="shared" si="21"/>
        <v>6591</v>
      </c>
      <c r="L23" s="197">
        <f t="shared" si="21"/>
        <v>3097</v>
      </c>
      <c r="M23" s="197">
        <f t="shared" si="21"/>
        <v>879</v>
      </c>
      <c r="N23" s="197">
        <f t="shared" si="21"/>
        <v>3534</v>
      </c>
      <c r="O23" s="197">
        <f t="shared" si="21"/>
        <v>12</v>
      </c>
      <c r="P23" s="197">
        <f t="shared" si="21"/>
        <v>116</v>
      </c>
      <c r="Q23" s="197">
        <f t="shared" si="21"/>
        <v>99</v>
      </c>
      <c r="R23" s="197">
        <f t="shared" si="21"/>
        <v>351</v>
      </c>
      <c r="S23" s="197">
        <f t="shared" si="21"/>
        <v>3462</v>
      </c>
      <c r="T23" s="197">
        <f t="shared" si="21"/>
        <v>6082</v>
      </c>
      <c r="U23" s="197">
        <f t="shared" si="21"/>
        <v>6325</v>
      </c>
      <c r="V23" s="197">
        <f t="shared" si="21"/>
        <v>3150</v>
      </c>
      <c r="W23" s="197">
        <f t="shared" si="21"/>
        <v>1004</v>
      </c>
      <c r="X23" s="197">
        <f t="shared" si="21"/>
        <v>3352</v>
      </c>
      <c r="Y23" s="197">
        <f t="shared" si="21"/>
        <v>0</v>
      </c>
      <c r="Z23" s="197">
        <f t="shared" si="21"/>
        <v>0</v>
      </c>
      <c r="AA23" s="197">
        <f t="shared" si="21"/>
        <v>0</v>
      </c>
      <c r="AB23" s="197">
        <f t="shared" si="21"/>
        <v>0</v>
      </c>
      <c r="AC23" s="197">
        <f t="shared" si="21"/>
        <v>15</v>
      </c>
      <c r="AD23" s="197">
        <f t="shared" si="21"/>
        <v>275</v>
      </c>
      <c r="AE23" s="197">
        <f t="shared" si="21"/>
        <v>288</v>
      </c>
      <c r="AF23" s="197">
        <f t="shared" si="21"/>
        <v>2</v>
      </c>
      <c r="AG23" s="197">
        <f t="shared" si="21"/>
        <v>0</v>
      </c>
      <c r="AH23" s="197">
        <f t="shared" si="21"/>
        <v>0</v>
      </c>
      <c r="AI23" s="197">
        <f t="shared" si="21"/>
        <v>0</v>
      </c>
      <c r="AJ23" s="197">
        <f t="shared" si="21"/>
        <v>0</v>
      </c>
      <c r="AK23" s="197">
        <f t="shared" si="21"/>
        <v>4</v>
      </c>
      <c r="AL23" s="197">
        <f t="shared" si="21"/>
        <v>286</v>
      </c>
      <c r="AM23" s="197">
        <f t="shared" si="21"/>
        <v>275</v>
      </c>
      <c r="AN23" s="197">
        <f t="shared" si="21"/>
        <v>15</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3462</v>
      </c>
      <c r="AZ23" s="197">
        <f>SUBTOTAL(9,AZ15:AZ22)</f>
        <v>6082</v>
      </c>
      <c r="BA23" s="197">
        <f>SUBTOTAL(9,BA15:BA22)</f>
        <v>6325</v>
      </c>
      <c r="BB23" s="197">
        <f>SUBTOTAL(9,BB15:BB22)</f>
        <v>3150</v>
      </c>
      <c r="BC23" s="197">
        <f>SUBTOTAL(9,BC15:BC22)</f>
        <v>1004</v>
      </c>
      <c r="BD23" s="219">
        <f>IF(ISNUMBER(BA23/AZ23),BA23/AZ23," - ")</f>
        <v>1.0399539625123315</v>
      </c>
      <c r="BE23" s="220">
        <f>IF(ISNUMBER(BB23/BA23),BB23/BA23, " - ")</f>
        <v>0.49802371541501977</v>
      </c>
      <c r="BF23" s="220">
        <f>IF(ISNUMBER(BC23/BA23),BC23/BA23, " - ")</f>
        <v>0.15873517786561264</v>
      </c>
      <c r="BG23" s="221">
        <f>IF(ISNUMBER((AY23+AZ23)/BA23),(AY23+AZ23)/BA23," - ")</f>
        <v>1.5089328063241108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7793</v>
      </c>
      <c r="J31" s="144">
        <f t="shared" si="36"/>
        <v>11429</v>
      </c>
      <c r="K31" s="144">
        <f t="shared" si="36"/>
        <v>10573</v>
      </c>
      <c r="L31" s="144">
        <f t="shared" si="36"/>
        <v>8661</v>
      </c>
      <c r="M31" s="144">
        <f t="shared" si="36"/>
        <v>1847</v>
      </c>
      <c r="N31" s="144">
        <f t="shared" si="36"/>
        <v>4956</v>
      </c>
      <c r="O31" s="144">
        <f t="shared" si="36"/>
        <v>1640</v>
      </c>
      <c r="P31" s="144">
        <f t="shared" si="36"/>
        <v>1137</v>
      </c>
      <c r="Q31" s="144">
        <f t="shared" si="36"/>
        <v>644</v>
      </c>
      <c r="R31" s="144">
        <f t="shared" si="36"/>
        <v>10095</v>
      </c>
      <c r="S31" s="144">
        <f t="shared" si="36"/>
        <v>7856</v>
      </c>
      <c r="T31" s="144">
        <f t="shared" si="36"/>
        <v>10188</v>
      </c>
      <c r="U31" s="144">
        <f t="shared" si="36"/>
        <v>10238</v>
      </c>
      <c r="V31" s="144">
        <f t="shared" si="36"/>
        <v>7793</v>
      </c>
      <c r="W31" s="144">
        <f t="shared" si="36"/>
        <v>1755</v>
      </c>
      <c r="X31" s="144">
        <f t="shared" si="36"/>
        <v>4862</v>
      </c>
      <c r="Y31" s="144">
        <f t="shared" si="36"/>
        <v>67</v>
      </c>
      <c r="Z31" s="144">
        <f t="shared" si="36"/>
        <v>242</v>
      </c>
      <c r="AA31" s="144">
        <f t="shared" si="36"/>
        <v>224</v>
      </c>
      <c r="AB31" s="144">
        <f t="shared" si="36"/>
        <v>85</v>
      </c>
      <c r="AC31" s="144">
        <f t="shared" si="36"/>
        <v>15</v>
      </c>
      <c r="AD31" s="144">
        <f t="shared" si="36"/>
        <v>275</v>
      </c>
      <c r="AE31" s="144">
        <f t="shared" si="36"/>
        <v>288</v>
      </c>
      <c r="AF31" s="144">
        <f t="shared" si="36"/>
        <v>2</v>
      </c>
      <c r="AG31" s="144">
        <f t="shared" si="36"/>
        <v>88</v>
      </c>
      <c r="AH31" s="144">
        <f t="shared" si="36"/>
        <v>231</v>
      </c>
      <c r="AI31" s="144">
        <f t="shared" si="36"/>
        <v>269</v>
      </c>
      <c r="AJ31" s="144">
        <f t="shared" si="36"/>
        <v>67</v>
      </c>
      <c r="AK31" s="144">
        <f t="shared" si="36"/>
        <v>4</v>
      </c>
      <c r="AL31" s="144">
        <f t="shared" si="36"/>
        <v>286</v>
      </c>
      <c r="AM31" s="144">
        <f t="shared" si="36"/>
        <v>275</v>
      </c>
      <c r="AN31" s="224">
        <f t="shared" si="36"/>
        <v>15</v>
      </c>
      <c r="AO31" s="225">
        <v>7</v>
      </c>
      <c r="AP31" s="225">
        <v>6</v>
      </c>
      <c r="AQ31" s="225">
        <v>6</v>
      </c>
      <c r="AR31" s="225">
        <v>6</v>
      </c>
      <c r="AS31" s="166">
        <f t="shared" si="36"/>
        <v>0</v>
      </c>
      <c r="AT31" s="166">
        <f t="shared" si="36"/>
        <v>0</v>
      </c>
      <c r="AU31" s="225"/>
      <c r="AV31" s="226"/>
      <c r="AW31" s="225"/>
      <c r="AX31" s="226"/>
      <c r="AY31" s="143">
        <f>SUBTOTAL(9,AY9:AY30)</f>
        <v>7944</v>
      </c>
      <c r="AZ31" s="144">
        <f>SUBTOTAL(9,AZ9:AZ30)</f>
        <v>10419</v>
      </c>
      <c r="BA31" s="144">
        <f>SUBTOTAL(9,BA9:BA30)</f>
        <v>10507</v>
      </c>
      <c r="BB31" s="144">
        <f>SUBTOTAL(9,BB9:BB30)</f>
        <v>7860</v>
      </c>
      <c r="BC31" s="145">
        <f>SUBTOTAL(9,BC9:BC30)</f>
        <v>2530</v>
      </c>
      <c r="BD31" s="227">
        <f>IF(ISNUMBER(BA31/AZ31),BA31/AZ31," - ")</f>
        <v>1.0084461080717919</v>
      </c>
      <c r="BE31" s="224">
        <f>IF(ISNUMBER(BB31/BA31),BB31/BA31, " - ")</f>
        <v>0.7480727134291425</v>
      </c>
      <c r="BF31" s="224">
        <f>IF(ISNUMBER(BC31/BA31),BC31/BA31, " - ")</f>
        <v>0.24079185305034739</v>
      </c>
      <c r="BG31" s="145">
        <f>IF(ISNUMBER((AY31+AZ31)/BA31),(AY31+AZ31)/BA31," - ")</f>
        <v>1.7476920148472448</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ECeZGnVz+2q3u0k6XvPTdsDCClsr6Floao3ItP8f7icDww6HkkLviyyC4T5dUU8cLP2vU64SdGWgXheP8JUuA==" saltValue="hDEvWtmE9qhFGe5C6i03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3vlHgHUz2KCP+TF1yPq2zpkYShztr26P5Hk8dXr6TzCU9raFPcTDkdZUtB/aLjrwZa80ut6ki2WqrmvQf/+Q==" saltValue="XTL2GkYGWugicvngcjrg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BLANES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82</v>
      </c>
      <c r="G10" s="543">
        <f>IF(ISNUMBER(Datos!I10),Datos!I10," - ")</f>
        <v>82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1</v>
      </c>
      <c r="AD10" s="549"/>
      <c r="AE10" s="563"/>
      <c r="AF10" s="551">
        <f>IF(ISNUMBER(Datos!L10),Datos!L10,"-")</f>
        <v>91</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12</v>
      </c>
      <c r="BE10" s="693" t="str">
        <f>IF(ISNUMBER(Datos!BW10),Datos!BW10," - ")</f>
        <v xml:space="preserve"> - </v>
      </c>
      <c r="BF10" s="762" t="str">
        <f>IF(ISNUMBER(Datos!BX10),Datos!BX10," - ")</f>
        <v xml:space="preserve"> - </v>
      </c>
      <c r="BG10" s="763">
        <f>IF(ISNUMBER(Datos!K10/Datos!J10),Datos!K10/Datos!J10," - ")</f>
        <v>0.84482758620689657</v>
      </c>
      <c r="BH10" s="764">
        <f>IF(ISNUMBER(((Datos!L10/Datos!K10)*11)/factor_trimestre),((Datos!L10/Datos!K10)*11)/factor_trimestre," - ")</f>
        <v>20.428571428571431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2.1739130434782608E-2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242</v>
      </c>
      <c r="O12" s="549"/>
      <c r="P12" s="549"/>
      <c r="Q12" s="547">
        <f>IF(ISNUMBER(Datos!P12),Datos!P12,0)</f>
        <v>1019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85</v>
      </c>
      <c r="AI12" s="549" t="str">
        <f>IF(ISNUMBER(Datos!CD12),Datos!CD12,"-")</f>
        <v>-</v>
      </c>
      <c r="AJ12" s="549" t="str">
        <f>IF(ISNUMBER(Datos!EN12),Datos!EN12," - ")</f>
        <v xml:space="preserve"> - </v>
      </c>
      <c r="AK12" s="549"/>
      <c r="AL12" s="550"/>
      <c r="AM12" s="766">
        <f>IF(ISNUMBER(Datos!R12),Datos!R12," - ")</f>
        <v>9697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949</v>
      </c>
      <c r="BD12" s="693">
        <f>IF(ISNUMBER(Datos!N12),Datos!N12," - ")</f>
        <v>1410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0.81637863315003922</v>
      </c>
      <c r="BH12" s="764">
        <f>IF(ISNUMBER(((IF(J_V="SI",Datos!L12/Datos!K12,(Datos!L12+Datos!AB12)/(Datos!K12+Datos!AA12)))*11)/factor_trimestre),((IF(J_V="SI",Datos!L12/Datos!K12,(Datos!L12+Datos!AB12)/(Datos!K12+Datos!AA12)))*11)/factor_trimestre," - ")</f>
        <v>14.707240798652874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5.1507265235306875E-2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82</v>
      </c>
      <c r="G14" s="1197">
        <f t="shared" si="1"/>
        <v>82</v>
      </c>
      <c r="H14" s="1198">
        <f t="shared" si="1"/>
        <v>0</v>
      </c>
      <c r="I14" s="1197">
        <f t="shared" si="1"/>
        <v>0</v>
      </c>
      <c r="J14" s="1164">
        <f t="shared" si="1"/>
        <v>0</v>
      </c>
      <c r="K14" s="1164">
        <f t="shared" si="1"/>
        <v>0</v>
      </c>
      <c r="L14" s="1198">
        <f t="shared" si="1"/>
        <v>0</v>
      </c>
      <c r="M14" s="1198">
        <f t="shared" si="1"/>
        <v>0</v>
      </c>
      <c r="N14" s="1198">
        <f t="shared" si="1"/>
        <v>242</v>
      </c>
      <c r="O14" s="1199">
        <f t="shared" si="1"/>
        <v>0</v>
      </c>
      <c r="P14" s="1199">
        <f t="shared" si="1"/>
        <v>0</v>
      </c>
      <c r="Q14" s="1198">
        <f t="shared" si="1"/>
        <v>1021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545</v>
      </c>
      <c r="AD14" s="1198">
        <f t="shared" si="2"/>
        <v>0</v>
      </c>
      <c r="AE14" s="1198">
        <f t="shared" si="2"/>
        <v>0</v>
      </c>
      <c r="AF14" s="1198">
        <f t="shared" si="2"/>
        <v>91</v>
      </c>
      <c r="AG14" s="1198">
        <f t="shared" si="2"/>
        <v>0</v>
      </c>
      <c r="AH14" s="1198">
        <f t="shared" si="2"/>
        <v>85</v>
      </c>
      <c r="AI14" s="1198">
        <f t="shared" si="2"/>
        <v>0</v>
      </c>
      <c r="AJ14" s="1198">
        <f t="shared" si="2"/>
        <v>0</v>
      </c>
      <c r="AK14" s="1198">
        <f t="shared" si="2"/>
        <v>0</v>
      </c>
      <c r="AL14" s="1198">
        <f t="shared" si="2"/>
        <v>0</v>
      </c>
      <c r="AM14" s="1198">
        <f t="shared" si="2"/>
        <v>9744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968</v>
      </c>
      <c r="BD14" s="1198">
        <f t="shared" si="2"/>
        <v>1422</v>
      </c>
      <c r="BE14" s="1198">
        <f t="shared" si="2"/>
        <v>0</v>
      </c>
      <c r="BF14" s="1198">
        <f t="shared" si="2"/>
        <v>0</v>
      </c>
      <c r="BG14" s="1198">
        <f>IF(ISNUMBER(Datos!K14/Datos!J14),Datos!K14/Datos!J14," - ")</f>
        <v>0.8113284433577832</v>
      </c>
      <c r="BH14" s="1202">
        <f>IF(ISNUMBER(((Datos!L14/Datos!K14)*11)/factor_trimestre),((Datos!L14/Datos!K14)*11)/factor_trimestre," - ")</f>
        <v>15.370165745856355</v>
      </c>
      <c r="BI14" s="1198">
        <f>IF(ISNUMBER('Resol  Asuntos'!D14/NºAsuntos!G14),'Resol  Asuntos'!D14/NºAsuntos!G14," - ")</f>
        <v>0.2301474084640989</v>
      </c>
      <c r="BJ14" s="1198" t="str">
        <f>IF(ISNUMBER(Datos!CI14/Datos!CJ14),Datos!CI14/Datos!CJ14," - ")</f>
        <v xml:space="preserve"> - </v>
      </c>
      <c r="BK14" s="1198">
        <f>SUBTOTAL(9,BK8:BK13)</f>
        <v>0</v>
      </c>
      <c r="BL14" s="1198">
        <f>IF(ISNUMBER((I14-AB14+L14)/(F14)),(I14-AB14+L14)/(F14)," - ")</f>
        <v>-0.59756097560975607</v>
      </c>
      <c r="BM14" s="1203">
        <f>SUBTOTAL(9,BM9:BM13)</f>
        <v>7.3246395670089476E-2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2784</v>
      </c>
      <c r="G17" s="743">
        <f>IF(ISNUMBER(IF(D_I="SI",Datos!I17,Datos!I17+Datos!AC17)),IF(D_I="SI",Datos!I17,Datos!I17+Datos!AC17)," - ")</f>
        <v>2753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5903</v>
      </c>
      <c r="AC17" s="240">
        <f>IF(ISNUMBER(Datos!Q17),Datos!Q17," - ")</f>
        <v>99</v>
      </c>
      <c r="AD17" s="374"/>
      <c r="AE17" s="562"/>
      <c r="AF17" s="741">
        <f>IF(ISNUMBER(IF(D_I="SI",Datos!L17,Datos!L17+Datos!AF17)),IF(D_I="SI",Datos!L17,Datos!L17+Datos!AF17)," - ")</f>
        <v>2777</v>
      </c>
      <c r="AG17" s="374"/>
      <c r="AH17" s="374"/>
      <c r="AI17" s="374"/>
      <c r="AJ17" s="549"/>
      <c r="AK17" s="374"/>
      <c r="AL17" s="545"/>
      <c r="AM17" s="375">
        <f>IF(ISNUMBER(Datos!R17),Datos!R17," - ")</f>
        <v>349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852</v>
      </c>
      <c r="BD17" s="243">
        <f>IF(ISNUMBER(Datos!N17),Datos!N17," - ")</f>
        <v>3184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1.0011872455902306</v>
      </c>
      <c r="BH17" s="764">
        <f>IF(ISNUMBER(((IF(D_I="SI",Datos!L17/Datos!K17,(Datos!L17+Datos!AF17)/(Datos!K17+Datos!AE17)))*11)/factor_trimestre),((IF(D_I="SI",Datos!L17/Datos!K17,(Datos!L17+Datos!AF17)/(Datos!K17+Datos!AE17)))*11)/factor_trimestre," - ")</f>
        <v>5.1748263594782316</v>
      </c>
      <c r="BI17" s="266">
        <f>IF(ISNUMBER('Resol  Asuntos'!D17/NºAsuntos!G17),'Resol  Asuntos'!D17/NºAsuntos!G17," - ")</f>
        <v>0.14433338980179569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688</v>
      </c>
      <c r="AC18" s="547">
        <f>IF(ISNUMBER(Datos!Q18),Datos!Q18," - ")</f>
        <v>0</v>
      </c>
      <c r="AD18" s="549"/>
      <c r="AE18" s="562"/>
      <c r="AF18" s="551">
        <f>IF(ISNUMBER(Datos!L18),Datos!L18,"-")</f>
        <v>320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350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1.1008</v>
      </c>
      <c r="BH18" s="764">
        <f>IF(ISNUMBER(((IF(D_I="SI",Datos!L18/Datos!K18,(Datos!L18+Datos!AF18)/(Datos!K18+Datos!AE18)))*11)/factor_trimestre),((IF(D_I="SI",Datos!L18/Datos!K18,(Datos!L18+Datos!AF18)/(Datos!K18+Datos!AE18)))*11)/factor_trimestre," - ")</f>
        <v>5.1162790697674421</v>
      </c>
      <c r="BI18" s="763">
        <f>IF(ISNUMBER('Resol  Asuntos'!D18/NºAsuntos!G18),'Resol  Asuntos'!D18/NºAsuntos!G18," - ")</f>
        <v>3.9244186046511628E-2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2784</v>
      </c>
      <c r="G23" s="1197">
        <f>SUBTOTAL(9,G16:G22)</f>
        <v>3150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6591</v>
      </c>
      <c r="AC23" s="1198">
        <f t="shared" si="5"/>
        <v>99</v>
      </c>
      <c r="AD23" s="1198">
        <f t="shared" si="5"/>
        <v>0</v>
      </c>
      <c r="AE23" s="1198">
        <f t="shared" si="5"/>
        <v>0</v>
      </c>
      <c r="AF23" s="1198">
        <f t="shared" si="5"/>
        <v>3097</v>
      </c>
      <c r="AG23" s="1198">
        <f t="shared" si="5"/>
        <v>0</v>
      </c>
      <c r="AH23" s="1198">
        <f t="shared" si="5"/>
        <v>0</v>
      </c>
      <c r="AI23" s="1198">
        <f t="shared" si="5"/>
        <v>0</v>
      </c>
      <c r="AJ23" s="1198">
        <f t="shared" si="5"/>
        <v>0</v>
      </c>
      <c r="AK23" s="1198">
        <f t="shared" si="5"/>
        <v>0</v>
      </c>
      <c r="AL23" s="1198">
        <f t="shared" si="5"/>
        <v>0</v>
      </c>
      <c r="AM23" s="1198">
        <f t="shared" si="5"/>
        <v>351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879</v>
      </c>
      <c r="BD23" s="1198">
        <f t="shared" si="5"/>
        <v>3534</v>
      </c>
      <c r="BE23" s="1198">
        <f t="shared" si="5"/>
        <v>0</v>
      </c>
      <c r="BF23" s="1198">
        <f t="shared" si="5"/>
        <v>0</v>
      </c>
      <c r="BG23" s="1198">
        <f>IF(ISNUMBER(Datos!K23/Datos!J23),Datos!K23/Datos!J23," - ")</f>
        <v>1.010734549915657</v>
      </c>
      <c r="BH23" s="1202">
        <f>IF(ISNUMBER(((Datos!L23/Datos!K23)*11)/factor_trimestre),((Datos!L23/Datos!K23)*11)/factor_trimestre," - ")</f>
        <v>5.1687149142770448</v>
      </c>
      <c r="BI23" s="1198">
        <f>SUBTOTAL(9,BI16:BI22)</f>
        <v>0.18357757584830731</v>
      </c>
      <c r="BJ23" s="1198">
        <f>SUBTOTAL(9,BJ16:BJ22)</f>
        <v>0</v>
      </c>
      <c r="BK23" s="1198">
        <f>SUBTOTAL(9,BK16:BK22)</f>
        <v>0</v>
      </c>
      <c r="BL23" s="1198">
        <f>IF(ISNUMBER((I23-AB23+L23)/(F23)),(I23-AB23+L23)/(F23)," - ")</f>
        <v>-2.3674568965517242</v>
      </c>
      <c r="BM23" s="1205">
        <f>IF(ISNUMBER((Datos!P23-Datos!Q23)/(Datos!R23-Datos!P23+Datos!Q23)),(Datos!P23-Datos!Q23)/(Datos!R23-Datos!P23+Datos!Q23)," - ")</f>
        <v>5.089820359281437E-2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2866</v>
      </c>
      <c r="G31" s="1117">
        <f t="shared" si="18"/>
        <v>3232</v>
      </c>
      <c r="H31" s="1119">
        <f t="shared" si="18"/>
        <v>0</v>
      </c>
      <c r="I31" s="1117">
        <f t="shared" si="18"/>
        <v>0</v>
      </c>
      <c r="J31" s="1119">
        <f t="shared" si="18"/>
        <v>0</v>
      </c>
      <c r="K31" s="1119">
        <f t="shared" si="18"/>
        <v>0</v>
      </c>
      <c r="L31" s="1180">
        <f t="shared" si="18"/>
        <v>0</v>
      </c>
      <c r="M31" s="1180">
        <f t="shared" si="18"/>
        <v>0</v>
      </c>
      <c r="N31" s="1180">
        <f t="shared" si="18"/>
        <v>242</v>
      </c>
      <c r="O31" s="1180">
        <f t="shared" si="18"/>
        <v>0</v>
      </c>
      <c r="P31" s="1180">
        <f t="shared" si="18"/>
        <v>0</v>
      </c>
      <c r="Q31" s="1119">
        <f t="shared" si="18"/>
        <v>1137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6640</v>
      </c>
      <c r="AC31" s="1118">
        <f t="shared" si="19"/>
        <v>644</v>
      </c>
      <c r="AD31" s="1118">
        <f t="shared" si="19"/>
        <v>0</v>
      </c>
      <c r="AE31" s="1118">
        <f t="shared" si="19"/>
        <v>0</v>
      </c>
      <c r="AF31" s="1125">
        <f t="shared" si="19"/>
        <v>3188</v>
      </c>
      <c r="AG31" s="1125">
        <f t="shared" si="19"/>
        <v>0</v>
      </c>
      <c r="AH31" s="1125">
        <f t="shared" si="19"/>
        <v>85</v>
      </c>
      <c r="AI31" s="1125">
        <f t="shared" si="19"/>
        <v>0</v>
      </c>
      <c r="AJ31" s="1118">
        <f t="shared" si="19"/>
        <v>0</v>
      </c>
      <c r="AK31" s="1125">
        <f t="shared" si="19"/>
        <v>0</v>
      </c>
      <c r="AL31" s="1125">
        <f t="shared" si="19"/>
        <v>0</v>
      </c>
      <c r="AM31" s="1125">
        <f t="shared" si="19"/>
        <v>10095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1847</v>
      </c>
      <c r="BD31" s="1117">
        <f t="shared" si="19"/>
        <v>4956</v>
      </c>
      <c r="BE31" s="1117">
        <f t="shared" si="19"/>
        <v>0</v>
      </c>
      <c r="BF31" s="1127">
        <f t="shared" si="19"/>
        <v>0</v>
      </c>
      <c r="BG31" s="1223">
        <f>IF(ISNUMBER(Datos!K31/Datos!J31),Datos!K31/Datos!J31," - ")</f>
        <v>0.92510280864467587</v>
      </c>
      <c r="BH31" s="1223">
        <f>IF(ISNUMBER(((Datos!L31/Datos!K31)*11)/factor_trimestre),((Datos!L31/Datos!K31)*11)/factor_trimestre," - ")</f>
        <v>9.0107821810271442</v>
      </c>
      <c r="BI31" s="1103">
        <f>IF(ISNUMBER(Datos!J31/Datos!I31),Datos!J31/Datos!I31," - ")</f>
        <v>1.4665725651225459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-2.3168178646196789</v>
      </c>
      <c r="BM31" s="1188">
        <f>IF(ISNUMBER((Datos!P31-Datos!Q31+R31)/(Datos!R31-Datos!P31+Datos!Q31-R31)),(Datos!P31-Datos!Q31+R31)/(Datos!R31-Datos!P31+Datos!Q31-R31)," - ")</f>
        <v>5.1343470110393669E-2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1416.9537277789514</v>
      </c>
      <c r="G33" s="674">
        <f>IF(ISNUMBER(STDEV(G8:G30)),STDEV(G8:G30),"-")</f>
        <v>1396.6342705641609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2988.0534036153276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482.78292963075768</v>
      </c>
      <c r="BD33" s="673"/>
      <c r="BE33" s="673">
        <f>IF(ISNUMBER(STDEV(BE8:BE30)),STDEV(BE8:BE30),"-")</f>
        <v>0</v>
      </c>
      <c r="BF33" s="678">
        <f>IF(ISNUMBER(STDEV(BF8:BF30)),STDEV(BF8:BF30),"-")</f>
        <v>0</v>
      </c>
      <c r="BG33" s="1052">
        <f>IF(ISNUMBER(STDEV(BG8:BG30)),STDEV(BG8:BG30),"-")</f>
        <v>0.12247515654862641</v>
      </c>
      <c r="BH33" s="1058">
        <f>IF(ISNUMBER(STDEV(BH8:BH30)),STDEV(BH8:BH30),"-")</f>
        <v>6.6976779989485316</v>
      </c>
      <c r="BI33" s="273">
        <f>IF(ISNUMBER(STDEV(BI8:BI30)),STDEV(BI8:BI30),"-")</f>
        <v>8.1339212424628299E-2</v>
      </c>
      <c r="BJ33" s="244" t="str">
        <f>IF(ISNUMBER(BL33/BM33),BL33/BM33," - ")</f>
        <v xml:space="preserve"> - </v>
      </c>
      <c r="BK33" s="709"/>
      <c r="BL33" s="681">
        <f>IF(ISNUMBER(STDEV(BL8:BL30)),STDEV(BL8:BL30),"-")</f>
        <v>1.2515054076924754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3FKzlnWfrybRLw5sY+JBSlJeB2iHL+So5cXIDY64wqeB9mYmy2cIoNTgnBZQVrc2ThkoyIM025dXT3dLExM2Q==" saltValue="4WfES4Aso7ASgmfprL2N4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BLANES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82</v>
      </c>
      <c r="G10" s="552">
        <f>IF(ISNUMBER(Datos!I10),Datos!I10," - ")</f>
        <v>82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1</v>
      </c>
      <c r="AA10" s="551">
        <f>IF(ISNUMBER(Datos!L10),Datos!L10,"-")</f>
        <v>91</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19</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2.1739130434782608E-2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544</v>
      </c>
      <c r="AA12" s="551" t="str">
        <f>IF(ISNUMBER(IF(J_V="SI",Datos!L12,Datos!L12+Datos!AB12)-IF(Monitorios="SI",Datos!CD12,0)),
                          IF(J_V="SI",Datos!L12,Datos!L12+Datos!AB12)-IF(Monitorios="SI",Datos!CD12,0),
                          " - ")</f>
        <v xml:space="preserve"> - </v>
      </c>
      <c r="AB12" s="549"/>
      <c r="AC12" s="549"/>
      <c r="AD12" s="563"/>
      <c r="AE12" s="563">
        <f>IF(ISNUMBER(Datos!R12),Datos!R12," - ")</f>
        <v>9697</v>
      </c>
      <c r="AF12" s="693" t="str">
        <f>IF(ISNUMBER(Datos!BV12),Datos!BV12," - ")</f>
        <v xml:space="preserve"> - </v>
      </c>
      <c r="AG12" s="552" t="str">
        <f>IF(ISNUMBER(Datos!DV12),Datos!DV12," - ")</f>
        <v xml:space="preserve"> - </v>
      </c>
      <c r="AH12" s="553"/>
      <c r="AI12" s="554"/>
      <c r="AJ12" s="552">
        <f>IF(ISNUMBER(Datos!M12),Datos!M12," - ")</f>
        <v>949</v>
      </c>
      <c r="AK12" s="693">
        <f>IF(ISNUMBER(Datos!N12),Datos!N12," - ")</f>
        <v>1410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14.707240798652874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5.1507265235306875E-2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82</v>
      </c>
      <c r="G14" s="1197">
        <f>SUBTOTAL(9,G8:G13)</f>
        <v>82</v>
      </c>
      <c r="H14" s="1211"/>
      <c r="I14" s="1197">
        <f t="shared" ref="I14:N14" si="1">SUBTOTAL(9,I8:I13)</f>
        <v>0</v>
      </c>
      <c r="J14" s="1164">
        <f t="shared" si="1"/>
        <v>0</v>
      </c>
      <c r="K14" s="1211">
        <f t="shared" si="1"/>
        <v>0</v>
      </c>
      <c r="L14" s="1211">
        <f t="shared" si="1"/>
        <v>0</v>
      </c>
      <c r="M14" s="1211">
        <f t="shared" si="1"/>
        <v>0</v>
      </c>
      <c r="N14" s="1211">
        <f t="shared" si="1"/>
        <v>1021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545</v>
      </c>
      <c r="AA14" s="1199">
        <f t="shared" si="3"/>
        <v>91</v>
      </c>
      <c r="AB14" s="1199">
        <f t="shared" si="3"/>
        <v>0</v>
      </c>
      <c r="AC14" s="1199">
        <f t="shared" si="3"/>
        <v>0</v>
      </c>
      <c r="AD14" s="1199">
        <f t="shared" si="3"/>
        <v>0</v>
      </c>
      <c r="AE14" s="1199">
        <f t="shared" si="3"/>
        <v>9744</v>
      </c>
      <c r="AF14" s="1211">
        <f t="shared" si="3"/>
        <v>0</v>
      </c>
      <c r="AG14" s="1211">
        <f t="shared" si="3"/>
        <v>0</v>
      </c>
      <c r="AH14" s="1211">
        <f t="shared" si="3"/>
        <v>0</v>
      </c>
      <c r="AI14" s="1211">
        <f t="shared" si="3"/>
        <v>0</v>
      </c>
      <c r="AJ14" s="1211">
        <f t="shared" si="3"/>
        <v>968</v>
      </c>
      <c r="AK14" s="1211">
        <f t="shared" si="3"/>
        <v>1422</v>
      </c>
      <c r="AL14" s="1211">
        <f t="shared" si="3"/>
        <v>0</v>
      </c>
      <c r="AM14" s="1211">
        <f t="shared" si="3"/>
        <v>0</v>
      </c>
      <c r="AN14" s="1211">
        <f t="shared" si="3"/>
        <v>0</v>
      </c>
      <c r="AO14" s="1203">
        <f>IF(ISNUMBER(((NºAsuntos!I14/NºAsuntos!G14)*11)/factor_trimestre),((NºAsuntos!I14/NºAsuntos!G14)*11)/factor_trimestre," - ")</f>
        <v>14.773894436519258</v>
      </c>
      <c r="AP14" s="1213" t="str">
        <f>IF(ISNUMBER(Datos!CI14/Datos!CJ14),Datos!CI14/Datos!CJ14," - ")</f>
        <v xml:space="preserve"> - </v>
      </c>
      <c r="AQ14" s="1236">
        <f t="shared" ref="AQ14:AV14" si="4">SUBTOTAL(9,AQ9:AQ13)</f>
        <v>0</v>
      </c>
      <c r="AR14" s="1236">
        <f t="shared" si="4"/>
        <v>7.3246395670089476E-2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2784</v>
      </c>
      <c r="G17" s="552">
        <f>IF(ISNUMBER(IF(D_I="SI",Datos!I17,Datos!I17+Datos!AC17)),IF(D_I="SI",Datos!I17,Datos!I17+Datos!AC17)," - ")</f>
        <v>2753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5903</v>
      </c>
      <c r="Z17" s="805">
        <f>IF(ISNUMBER(Datos!Q17),Datos!Q17," - ")</f>
        <v>99</v>
      </c>
      <c r="AA17" s="551">
        <f>IF(ISNUMBER(IF(D_I="SI",Datos!L17,Datos!L17+Datos!AF17)),IF(D_I="SI",Datos!L17,Datos!L17+Datos!AF17)," - ")</f>
        <v>2777</v>
      </c>
      <c r="AB17" s="549"/>
      <c r="AC17" s="549"/>
      <c r="AD17" s="563"/>
      <c r="AE17" s="563">
        <f>IF(ISNUMBER(Datos!R17),Datos!R17," - ")</f>
        <v>349</v>
      </c>
      <c r="AF17" s="693" t="str">
        <f>IF(ISNUMBER(Datos!BV17),Datos!BV17," - ")</f>
        <v xml:space="preserve"> - </v>
      </c>
      <c r="AG17" s="552"/>
      <c r="AH17" s="553"/>
      <c r="AI17" s="554"/>
      <c r="AJ17" s="552">
        <f>IF(ISNUMBER(Datos!M17),Datos!M17," - ")</f>
        <v>852</v>
      </c>
      <c r="AK17" s="693">
        <f>IF(ISNUMBER(Datos!N17),Datos!N17," - ")</f>
        <v>3184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5.1748263594782316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688</v>
      </c>
      <c r="Z18" s="805">
        <f>IF(ISNUMBER(Datos!Q18),Datos!Q18," - ")</f>
        <v>0</v>
      </c>
      <c r="AA18" s="551">
        <f>IF(ISNUMBER(Datos!L18),Datos!L18,"-")</f>
        <v>320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27</v>
      </c>
      <c r="AK18" s="693">
        <f>IF(ISNUMBER(Datos!N18),Datos!N18," - ")</f>
        <v>350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5.1162790697674421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2784</v>
      </c>
      <c r="G23" s="1197">
        <f>SUBTOTAL(9,G16:G22)</f>
        <v>3150</v>
      </c>
      <c r="H23" s="1240">
        <f>SUBTOTAL(9,H16:H22)</f>
        <v>0</v>
      </c>
      <c r="I23" s="1217">
        <f>SUBTOTAL(9,I16:I22)</f>
        <v>0</v>
      </c>
      <c r="J23" s="1164">
        <f>SUBTOTAL(9,J15:J22)</f>
        <v>0</v>
      </c>
      <c r="K23" s="1240">
        <f t="shared" ref="K23:S23" si="5">SUBTOTAL(9,K16:K22)</f>
        <v>0</v>
      </c>
      <c r="L23" s="1240">
        <f t="shared" si="5"/>
        <v>0</v>
      </c>
      <c r="M23" s="1240">
        <f t="shared" si="5"/>
        <v>0</v>
      </c>
      <c r="N23" s="1240">
        <f t="shared" si="5"/>
        <v>116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6591</v>
      </c>
      <c r="Z23" s="1240">
        <f t="shared" si="6"/>
        <v>99</v>
      </c>
      <c r="AA23" s="1240">
        <f t="shared" si="6"/>
        <v>3097</v>
      </c>
      <c r="AB23" s="1240">
        <f t="shared" si="6"/>
        <v>0</v>
      </c>
      <c r="AC23" s="1240">
        <f t="shared" si="6"/>
        <v>0</v>
      </c>
      <c r="AD23" s="1240">
        <f t="shared" si="6"/>
        <v>0</v>
      </c>
      <c r="AE23" s="1240">
        <f t="shared" si="6"/>
        <v>351</v>
      </c>
      <c r="AF23" s="1240">
        <f t="shared" si="6"/>
        <v>0</v>
      </c>
      <c r="AG23" s="1240">
        <f t="shared" si="6"/>
        <v>0</v>
      </c>
      <c r="AH23" s="1240">
        <f t="shared" si="6"/>
        <v>0</v>
      </c>
      <c r="AI23" s="1240">
        <f t="shared" si="6"/>
        <v>0</v>
      </c>
      <c r="AJ23" s="1240">
        <f t="shared" si="6"/>
        <v>879</v>
      </c>
      <c r="AK23" s="1240">
        <f t="shared" si="6"/>
        <v>3534</v>
      </c>
      <c r="AL23" s="1240">
        <f t="shared" si="6"/>
        <v>0</v>
      </c>
      <c r="AM23" s="1240">
        <f t="shared" si="6"/>
        <v>0</v>
      </c>
      <c r="AN23" s="1240">
        <f t="shared" si="6"/>
        <v>0</v>
      </c>
      <c r="AO23" s="1242">
        <f>IF(ISNUMBER(((NºAsuntos!I23/NºAsuntos!G23)*11)/factor_trimestre),((NºAsuntos!I23/NºAsuntos!G23)*11)/factor_trimestre," - ")</f>
        <v>5.1687149142770448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2866</v>
      </c>
      <c r="G31" s="1117">
        <f t="shared" si="12"/>
        <v>3232</v>
      </c>
      <c r="H31" s="1118">
        <f t="shared" si="12"/>
        <v>0</v>
      </c>
      <c r="I31" s="1117">
        <f t="shared" si="12"/>
        <v>0</v>
      </c>
      <c r="J31" s="1119">
        <f t="shared" si="12"/>
        <v>0</v>
      </c>
      <c r="K31" s="1117">
        <f t="shared" si="12"/>
        <v>0</v>
      </c>
      <c r="L31" s="1120">
        <f t="shared" si="12"/>
        <v>0</v>
      </c>
      <c r="M31" s="1117">
        <f t="shared" si="12"/>
        <v>0</v>
      </c>
      <c r="N31" s="1118">
        <f t="shared" si="12"/>
        <v>1137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6640</v>
      </c>
      <c r="Z31" s="1124">
        <f t="shared" si="13"/>
        <v>644</v>
      </c>
      <c r="AA31" s="1125">
        <f t="shared" si="13"/>
        <v>3188</v>
      </c>
      <c r="AB31" s="1125">
        <f t="shared" si="13"/>
        <v>0</v>
      </c>
      <c r="AC31" s="1125">
        <f t="shared" si="13"/>
        <v>0</v>
      </c>
      <c r="AD31" s="1126">
        <f t="shared" si="13"/>
        <v>0</v>
      </c>
      <c r="AE31" s="1126">
        <f t="shared" si="13"/>
        <v>10095</v>
      </c>
      <c r="AF31" s="1127">
        <f t="shared" si="13"/>
        <v>0</v>
      </c>
      <c r="AG31" s="1128">
        <f t="shared" si="13"/>
        <v>0</v>
      </c>
      <c r="AH31" s="1129">
        <f t="shared" si="13"/>
        <v>0</v>
      </c>
      <c r="AI31" s="1127">
        <f t="shared" si="13"/>
        <v>0</v>
      </c>
      <c r="AJ31" s="1117">
        <f t="shared" si="13"/>
        <v>1847</v>
      </c>
      <c r="AK31" s="1117">
        <f t="shared" si="13"/>
        <v>4956</v>
      </c>
      <c r="AL31" s="1117">
        <f t="shared" si="13"/>
        <v>0</v>
      </c>
      <c r="AM31" s="1130">
        <f t="shared" si="13"/>
        <v>0</v>
      </c>
      <c r="AN31" s="1120">
        <f>IF(ISNUMBER(Datos!K31/Datos!J31),Datos!K31/Datos!J31," - ")</f>
        <v>0.92510280864467587</v>
      </c>
      <c r="AO31" s="1120">
        <f>IF(ISNUMBER(FIND("06",Criterios!A8,1)),(IF(ISNUMBER(((Datos!R31/Datos!Q31)*11)/factor_trimestre),((Datos!R31/Datos!Q31)*11)/factor_trimestre," - ")),(IF(ISNUMBER(((Datos!L31/Datos!K31)*11)/factor_trimestre),((Datos!L31/Datos!K31)*11)/factor_trimestre," - ")))</f>
        <v>9.0107821810271442</v>
      </c>
      <c r="AP31" s="1131" t="str">
        <f>IF(ISNUMBER(Datos!CI31/Datos!CJ31),Datos!CI31/Datos!CJ31," - ")</f>
        <v xml:space="preserve"> - </v>
      </c>
      <c r="AQ31" s="1131">
        <f>IF(OR(ISNUMBER(FIND("01",Criterios!A8,1)),ISNUMBER(FIND("02",Criterios!A8,1)),ISNUMBER(FIND("03",Criterios!A8,1)),ISNUMBER(FIND("04",Criterios!A8,1))),(J31-Y31+K31)/(F31-K31),(I31-Y31+K31)/(F31-K31))</f>
        <v>-2.3168178646196789</v>
      </c>
      <c r="AR31" s="1131">
        <f>IF(ISNUMBER((Datos!P31-Datos!Q31+O31)/(Datos!R31-Datos!P31+Datos!Q31-O31)),(Datos!P31-Datos!Q31+O31)/(Datos!R31-Datos!P31+Datos!Q31-O31)," - ")</f>
        <v>5.1343470110393669E-2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1416.9537277789514</v>
      </c>
      <c r="G33" s="674">
        <f>IF(ISNUMBER(STDEV(G8:G30)),STDEV(G8:G30),"-")</f>
        <v>1396.6342705641609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482.78292963075768</v>
      </c>
      <c r="AK33" s="276"/>
      <c r="AL33" s="276">
        <f>IF(ISNUMBER(STDEV(AL8:AL30)),STDEV(AL8:AL30),"-")</f>
        <v>0</v>
      </c>
      <c r="AM33" s="278">
        <f>IF(ISNUMBER(STDEV(AM8:AM30)),STDEV(AM8:AM30),"-")</f>
        <v>0</v>
      </c>
      <c r="AN33" s="660">
        <f>IF(ISNUMBER(STDEV(AN8:AN30)),STDEV(AN8:AN30),"-")</f>
        <v>0</v>
      </c>
      <c r="AO33" s="661">
        <f>IF(ISNUMBER(STDEV(AO8:AO30)),STDEV(AO8:AO30),"-")</f>
        <v>6.623780326266278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B/f/gbLmJAb6eQE9g5AdCSl1M7ysy9ebDS3NFm/GOYW17YGk+LEKXKsLuYy2XdxVSDKM32qb1TDF/srIp0bksA==" saltValue="g+iZPccXlUaWHl1QKLBT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U62Xyj61r9Rpq7Vff0gG6/6XDlgttLCLJA+XbGSktcRrAioYviAFAotVH4DDpy+q7MbJLLNGbR50AnvyIMVPA==" saltValue="gUJ2NnvDtTi8Lme1adz9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XOUfr1kFuubs0GIra/jIHgY/+LhrKspsx2fTQ6EEq2vEckUVZKG0oemRJGmn0ULXAAv3rMZICkffWs0sDPzw==" saltValue="DWkVu2EHMa6AVI2xXNHW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BLANES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0.2301474084640989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0.16273879319747456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nCH9qb1bQq2QDyWOEzrs16msEZYHOOjv/TcmCrwSABarZwzn+VOz0FMHTdZWNNgT3VVPqpatNPWf/QL8RpEiA==" saltValue="M/yl2hJZi+rp8QMd6CQx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3SfuBt/YD0CI4lHGoCkGS94tRz16qMhgMsau3aAOgfN/jLCKDVRAzOEAM62by1zCXQ2ohAN8etZgKnEkS/R7fQ==" saltValue="fkeO5hRiSpo2WLFU1ruy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BLANES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82</v>
      </c>
      <c r="D10" s="452">
        <f>IF(ISNUMBER(C10/Datos!BH10),C10/Datos!BH10," - ")</f>
        <v>82</v>
      </c>
      <c r="E10" s="451">
        <f>IF(ISNUMBER(Datos!J10),Datos!J10," - ")</f>
        <v>58</v>
      </c>
      <c r="F10" s="452">
        <f>IF(ISNUMBER(E10/B10),E10/B10," - ")</f>
        <v>58</v>
      </c>
      <c r="G10" s="451">
        <f>IF(ISNUMBER(Datos!K10),Datos!K10," - ")</f>
        <v>49</v>
      </c>
      <c r="H10" s="452">
        <f>IF(ISNUMBER(G10/B10),G10/B10," - ")</f>
        <v>49</v>
      </c>
      <c r="I10" s="451">
        <f>IF(ISNUMBER(Datos!L10),Datos!L10," - ")</f>
        <v>91</v>
      </c>
      <c r="J10" s="452">
        <f>IF(ISNUMBER(I10/B10),I10/B10," - ")</f>
        <v>91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4628</v>
      </c>
      <c r="D12" s="452">
        <f>IF(ISNUMBER(C12/Datos!BH12),C12/Datos!BH12," - ")</f>
        <v>771.33333333333337</v>
      </c>
      <c r="E12" s="451">
        <f>IF(ISNUMBER(IF(J_V="SI",Datos!J12,Datos!J12+Datos!Z12)),IF(J_V="SI",Datos!J12,Datos!J12+Datos!Z12)," - ")</f>
        <v>5092</v>
      </c>
      <c r="F12" s="452">
        <f>IF(ISNUMBER(E12/B12),E12/B12," - ")</f>
        <v>848.66666666666663</v>
      </c>
      <c r="G12" s="451">
        <f>IF(ISNUMBER(IF(J_V="SI",Datos!K12,Datos!K12+Datos!AA12)),IF(J_V="SI",Datos!K12,Datos!K12+Datos!AA12)," - ")</f>
        <v>4157</v>
      </c>
      <c r="H12" s="452">
        <f>IF(ISNUMBER(G12/B12),G12/B12," - ")</f>
        <v>692.83333333333337</v>
      </c>
      <c r="I12" s="451">
        <f>IF(ISNUMBER(IF(J_V="SI",Datos!L12,Datos!L12+Datos!AB12)),IF(J_V="SI",Datos!L12,Datos!L12+Datos!AB12)," - ")</f>
        <v>5558</v>
      </c>
      <c r="J12" s="452">
        <f>IF(ISNUMBER(I12/B12),I12/B12," - ")</f>
        <v>926.33333333333337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4710</v>
      </c>
      <c r="D14" s="1147" t="str">
        <f>IF(ISNUMBER(C14/Datos!BI14),C14/Datos!BI14," - ")</f>
        <v xml:space="preserve"> - </v>
      </c>
      <c r="E14" s="1146">
        <f>SUBTOTAL(9,E8:E13)</f>
        <v>5150</v>
      </c>
      <c r="F14" s="1147">
        <f>IF(ISNUMBER(E14/B14),E14/B14," - ")</f>
        <v>858.33333333333337</v>
      </c>
      <c r="G14" s="1146">
        <f>SUBTOTAL(9,G8:G13)</f>
        <v>4206</v>
      </c>
      <c r="H14" s="1147">
        <f>IF(ISNUMBER(G14/B14),G14/B14," - ")</f>
        <v>701</v>
      </c>
      <c r="I14" s="1146">
        <f>SUBTOTAL(9,I8:I13)</f>
        <v>5649</v>
      </c>
      <c r="J14" s="1147">
        <f>IF(ISNUMBER(I14/B14),I14/B14," - ")</f>
        <v>941.5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2753</v>
      </c>
      <c r="D17" s="452">
        <f>IF(ISNUMBER(C17/Datos!BH17),C17/Datos!BH17," - ")</f>
        <v>458.83333333333331</v>
      </c>
      <c r="E17" s="451">
        <f>IF(ISNUMBER(IF(D_I="SI",Datos!J17,Datos!J17+Datos!AD17)),IF(D_I="SI",Datos!J17,Datos!J17+Datos!AD17)," - ")</f>
        <v>5896</v>
      </c>
      <c r="F17" s="452">
        <f>IF(ISNUMBER(E17/B17),E17/B17," - ")</f>
        <v>982.66666666666663</v>
      </c>
      <c r="G17" s="451">
        <f>IF(ISNUMBER(IF(D_I="SI",Datos!K17,Datos!K17+Datos!AE17)),IF(D_I="SI",Datos!K17,Datos!K17+Datos!AE17)," - ")</f>
        <v>5903</v>
      </c>
      <c r="H17" s="452">
        <f>IF(ISNUMBER(G17/B17),G17/B17," - ")</f>
        <v>983.83333333333337</v>
      </c>
      <c r="I17" s="451">
        <f>IF(ISNUMBER(IF(D_I="SI",Datos!L17,Datos!L17+Datos!AF17)),IF(D_I="SI",Datos!L17,Datos!L17+Datos!AF17)," - ")</f>
        <v>2777</v>
      </c>
      <c r="J17" s="452">
        <f>IF(ISNUMBER(I17/B17),I17/B17," - ")</f>
        <v>462.83333333333331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397</v>
      </c>
      <c r="D18" s="452">
        <f>IF(ISNUMBER(C18/Datos!BH18),C18/Datos!BH18," - ")</f>
        <v>397</v>
      </c>
      <c r="E18" s="451">
        <f>IF(ISNUMBER(IF(D_I="SI",Datos!J18,Datos!J18+Datos!AD18)),IF(D_I="SI",Datos!J18,Datos!J18+Datos!AD18)," - ")</f>
        <v>625</v>
      </c>
      <c r="F18" s="452">
        <f>IF(ISNUMBER(E18/B18),E18/B18," - ")</f>
        <v>625</v>
      </c>
      <c r="G18" s="451">
        <f>IF(ISNUMBER(IF(D_I="SI",Datos!K18,Datos!K18+Datos!AE18)),IF(D_I="SI",Datos!K18,Datos!K18+Datos!AE18)," - ")</f>
        <v>688</v>
      </c>
      <c r="H18" s="452">
        <f>IF(ISNUMBER(G18/B18),G18/B18," - ")</f>
        <v>688</v>
      </c>
      <c r="I18" s="451">
        <f>IF(ISNUMBER(IF(D_I="SI",Datos!L18,Datos!L18+Datos!AF18)),IF(D_I="SI",Datos!L18,Datos!L18+Datos!AF18)," - ")</f>
        <v>320</v>
      </c>
      <c r="J18" s="452">
        <f>IF(ISNUMBER(I18/B18),I18/B18," - ")</f>
        <v>320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3150</v>
      </c>
      <c r="D23" s="1147" t="str">
        <f>IF(ISNUMBER(C23/Datos!BI23),C23/Datos!BI23," - ")</f>
        <v xml:space="preserve"> - </v>
      </c>
      <c r="E23" s="1146">
        <f>SUBTOTAL(9,E15:E22)</f>
        <v>6521</v>
      </c>
      <c r="F23" s="1147">
        <f>IF(ISNUMBER(E23/B23),E23/B23," - ")</f>
        <v>1086.8333333333333</v>
      </c>
      <c r="G23" s="1146">
        <f>SUBTOTAL(9,G15:G22)</f>
        <v>6591</v>
      </c>
      <c r="H23" s="1147">
        <f>IF(ISNUMBER(G23/B23),G23/B23," - ")</f>
        <v>1098.5</v>
      </c>
      <c r="I23" s="1146">
        <f>SUBTOTAL(9,I15:I22)</f>
        <v>3097</v>
      </c>
      <c r="J23" s="1147">
        <f>IF(ISNUMBER(I23/B23),I23/B23," - ")</f>
        <v>516.16666666666663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7860</v>
      </c>
      <c r="D31" s="1085" t="str">
        <f>IF(ISNUMBER(C31/Datos!BI31),C31/Datos!BI31," - ")</f>
        <v xml:space="preserve"> - </v>
      </c>
      <c r="E31" s="1084">
        <f>SUBTOTAL(9,E9:E30)</f>
        <v>11671</v>
      </c>
      <c r="F31" s="1085">
        <f>IF(ISNUMBER(E31/B31),E31/B31," - ")</f>
        <v>1945.1666666666667</v>
      </c>
      <c r="G31" s="1084">
        <f>SUBTOTAL(9,G9:G30)</f>
        <v>10797</v>
      </c>
      <c r="H31" s="1085">
        <f>IF(ISNUMBER(G31/B31),G31/B31," - ")</f>
        <v>1799.5</v>
      </c>
      <c r="I31" s="1084">
        <f>SUBTOTAL(9,I9:I30)</f>
        <v>8746</v>
      </c>
      <c r="J31" s="1085">
        <f>IF(ISNUMBER(I31/B31),I31/B31," - ")</f>
        <v>1457.6666666666667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2jC0/jcS/Oxzs/i/HdiXPELT5917FWJWIoniKkPH8IUIyu61jbB+Ya0KsHXigcvkjHq27Ag2Nropk6gYzW+sQ==" saltValue="WSmOIV8p+gE7UB7SV7fD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BLANES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82</v>
      </c>
      <c r="G10" s="906">
        <f>IF(ISNUMBER(Datos!I10),Datos!I10," - ")</f>
        <v>82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20.428571428571431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9697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949</v>
      </c>
      <c r="AM12" s="914">
        <f>IF(ISNUMBER(Datos!N12+DatosP!N17),Datos!N12+DatosP!N17," - ")</f>
        <v>1410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14.707240798652874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5.1507265235306875E-2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82</v>
      </c>
      <c r="G14" s="1256">
        <f t="shared" si="0"/>
        <v>82</v>
      </c>
      <c r="H14" s="1256">
        <f t="shared" si="0"/>
        <v>0</v>
      </c>
      <c r="I14" s="1258">
        <f t="shared" si="0"/>
        <v>0</v>
      </c>
      <c r="J14" s="1257">
        <f t="shared" si="0"/>
        <v>0</v>
      </c>
      <c r="K14" s="1257">
        <f t="shared" si="0"/>
        <v>0</v>
      </c>
      <c r="L14" s="1259">
        <f t="shared" si="0"/>
        <v>0</v>
      </c>
      <c r="M14" s="1259">
        <f t="shared" si="0"/>
        <v>0</v>
      </c>
      <c r="N14" s="1257">
        <f t="shared" si="0"/>
        <v>1021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544</v>
      </c>
      <c r="AE14" s="1257">
        <f t="shared" si="1"/>
        <v>0</v>
      </c>
      <c r="AF14" s="1257">
        <f t="shared" si="1"/>
        <v>91</v>
      </c>
      <c r="AG14" s="1257">
        <f t="shared" si="1"/>
        <v>0</v>
      </c>
      <c r="AH14" s="1257">
        <f t="shared" si="1"/>
        <v>9697</v>
      </c>
      <c r="AI14" s="1257">
        <f t="shared" si="1"/>
        <v>0</v>
      </c>
      <c r="AJ14" s="1257">
        <f t="shared" si="1"/>
        <v>0</v>
      </c>
      <c r="AK14" s="1257">
        <f t="shared" si="1"/>
        <v>0</v>
      </c>
      <c r="AL14" s="1257">
        <f t="shared" si="1"/>
        <v>968</v>
      </c>
      <c r="AM14" s="1257">
        <f t="shared" si="1"/>
        <v>1422</v>
      </c>
      <c r="AN14" s="1257">
        <f t="shared" si="1"/>
        <v>0</v>
      </c>
      <c r="AO14" s="1257">
        <f t="shared" si="1"/>
        <v>0</v>
      </c>
      <c r="AP14" s="1262">
        <f>IF(ISNUMBER(((Datos!L14/Datos!K14)*11)/factor_trimestre),((Datos!L14/Datos!K14)*11)/factor_trimestre," - ")</f>
        <v>15.370165745856355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-0.59756097560975607</v>
      </c>
      <c r="AU14" s="1257" t="str">
        <f>IF(ISNUMBER((DatosP!#REF!-DatosP!#REF!+DatosP!#REF!)/(DatosP!#REF!+DatosP!#REF!-DatosP!#REF!-DatosP!#REF!)),(DatosP!#REF!-DatosP!#REF!+DatosP!#REF!)/(DatosP!#REF!+DatosP!#REF!-DatosP!#REF!-DatosP!#REF!)," - ")</f>
        <v xml:space="preserve"> - </v>
      </c>
      <c r="AV14" s="1263">
        <f>SUBTOTAL(9,AV9:AV13)</f>
        <v>5.1507265235306875E-2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5.1687149142770448</v>
      </c>
      <c r="AQ23" s="1262">
        <f>IF(ISNUMBER(((Datos!M23/Datos!L23)*11)/factor_trimestre),((Datos!M23/Datos!L23)*11)/factor_trimestre," - ")</f>
        <v>3.1220536002583148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5.089820359281437E-2</v>
      </c>
      <c r="AW23" s="1265">
        <f>IF(ISNUMBER((Datos!Q23-Datos!R23)/(Datos!S23-Datos!Q23+Datos!R23)),(Datos!Q23-Datos!R23)/(Datos!S23-Datos!Q23+Datos!R23)," - ")</f>
        <v>-6.7851373182552507E-2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82</v>
      </c>
      <c r="G31" s="1278">
        <f t="shared" si="8"/>
        <v>82</v>
      </c>
      <c r="H31" s="1278">
        <f t="shared" si="8"/>
        <v>0</v>
      </c>
      <c r="I31" s="1279">
        <f t="shared" si="8"/>
        <v>0</v>
      </c>
      <c r="J31" s="1280">
        <f t="shared" si="8"/>
        <v>0</v>
      </c>
      <c r="K31" s="1280">
        <f t="shared" si="8"/>
        <v>0</v>
      </c>
      <c r="L31" s="1280">
        <f t="shared" si="8"/>
        <v>0</v>
      </c>
      <c r="M31" s="1280">
        <f t="shared" si="8"/>
        <v>0</v>
      </c>
      <c r="N31" s="1279">
        <f t="shared" si="8"/>
        <v>1021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544</v>
      </c>
      <c r="AE31" s="1284">
        <f t="shared" si="9"/>
        <v>0</v>
      </c>
      <c r="AF31" s="1285">
        <f t="shared" si="9"/>
        <v>91</v>
      </c>
      <c r="AG31" s="1285">
        <f t="shared" si="9"/>
        <v>0</v>
      </c>
      <c r="AH31" s="1285">
        <f t="shared" si="9"/>
        <v>9697</v>
      </c>
      <c r="AI31" s="1285">
        <f t="shared" si="9"/>
        <v>0</v>
      </c>
      <c r="AJ31" s="1286">
        <f t="shared" si="9"/>
        <v>0</v>
      </c>
      <c r="AK31" s="1286">
        <f t="shared" si="9"/>
        <v>0</v>
      </c>
      <c r="AL31" s="1278">
        <f t="shared" si="9"/>
        <v>968</v>
      </c>
      <c r="AM31" s="1278">
        <f t="shared" si="9"/>
        <v>1422</v>
      </c>
      <c r="AN31" s="1278">
        <f t="shared" si="9"/>
        <v>0</v>
      </c>
      <c r="AO31" s="1278">
        <f t="shared" si="9"/>
        <v>0</v>
      </c>
      <c r="AP31" s="1278">
        <f>IF(ISNUMBER(((Datos!L31/Datos!K31)*11)/factor_trimestre),((Datos!L31/Datos!K31)*11)/factor_trimestre," - ")</f>
        <v>9.0107821810271442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-0.59756097560975607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5.1343470110393669E-2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44.913249715423625</v>
      </c>
      <c r="G33" s="1007">
        <f>IF(ISNUMBER(STDEV(G8:G30)),STDEV(G8:G30),"-")</f>
        <v>44.913249715423625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492.6059953620811</v>
      </c>
      <c r="AM33" s="1006"/>
      <c r="AN33" s="1006">
        <f>IF(ISNUMBER(STDEV(AN8:AN30)),STDEV(AN8:AN30),"-")</f>
        <v>0</v>
      </c>
      <c r="AO33" s="1012">
        <f>IF(ISNUMBER(STDEV(AO8:AO30)),STDEV(AO8:AO30),"-")</f>
        <v>0</v>
      </c>
      <c r="AP33" s="1065">
        <f>IF(ISNUMBER(STDEV(AP8:AP30)),STDEV(AP8:AP30),"-")</f>
        <v>6.3683910688276377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7TlktlghtWwPj65SaOLK+5Z55zs+uNkeWmpXlBJJgObdpb2sfy54zZQSmZxYqMRzvT8vcwopnYcVgwJOCpZpA==" saltValue="9uejSKz82ys6OEwTQV5u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BLANES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kYims6SobL4Vb2nVMMtSkaMBlSpbKfiA9glPWMf3+fpi9QXiWFgp/5P+0C07pUyVvNnvYl0N0wkSg6ZtkvkIg==" saltValue="L+MtI4JnvnRl6w4o1pU8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BLANES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12</v>
      </c>
      <c r="G10" s="452">
        <f>IF(ISNUMBER(F10/B10),F10/B10," - ")</f>
        <v>12</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949</v>
      </c>
      <c r="E12" s="452">
        <f t="shared" si="0"/>
        <v>158.16666666666666</v>
      </c>
      <c r="F12" s="451">
        <f>IF(ISNUMBER(Datos!N12),Datos!N12," - ")</f>
        <v>1410</v>
      </c>
      <c r="G12" s="452">
        <f t="shared" si="1"/>
        <v>235</v>
      </c>
      <c r="H12" s="451">
        <f>IF(ISNUMBER(Datos!O12),Datos!O12," - ")</f>
        <v>1619</v>
      </c>
      <c r="I12" s="452">
        <f t="shared" si="2"/>
        <v>269.83333333333331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968</v>
      </c>
      <c r="E14" s="1147">
        <f t="shared" si="0"/>
        <v>138.28571428571428</v>
      </c>
      <c r="F14" s="1146">
        <f>SUBTOTAL(9,F9:F13)</f>
        <v>1422</v>
      </c>
      <c r="G14" s="1147">
        <f t="shared" si="1"/>
        <v>203.14285714285714</v>
      </c>
      <c r="H14" s="1146">
        <f>SUBTOTAL(9,H9:H13)</f>
        <v>1628</v>
      </c>
      <c r="I14" s="1147">
        <f>IF(ISNUMBER(H14/B14),H14/B14," - ")</f>
        <v>232.57142857142858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852</v>
      </c>
      <c r="E17" s="452">
        <f t="shared" si="3"/>
        <v>142</v>
      </c>
      <c r="F17" s="451">
        <f>IF(ISNUMBER(Datos!N17),Datos!N17," - ")</f>
        <v>3184</v>
      </c>
      <c r="G17" s="452">
        <f t="shared" si="4"/>
        <v>530.66666666666663</v>
      </c>
      <c r="H17" s="451">
        <f>IF(ISNUMBER(Datos!O17),Datos!O17," - ")</f>
        <v>12</v>
      </c>
      <c r="I17" s="452">
        <f t="shared" si="5"/>
        <v>2</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350</v>
      </c>
      <c r="G18" s="452">
        <f>IF(ISNUMBER(F18/B18),F18/B18," - ")</f>
        <v>350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879</v>
      </c>
      <c r="E23" s="1147">
        <f t="shared" si="3"/>
        <v>125.57142857142857</v>
      </c>
      <c r="F23" s="1146">
        <f>SUBTOTAL(9,F16:F22)</f>
        <v>3534</v>
      </c>
      <c r="G23" s="1147">
        <f t="shared" si="4"/>
        <v>504.85714285714283</v>
      </c>
      <c r="H23" s="1146">
        <f>SUBTOTAL(9,H16:H22)</f>
        <v>12</v>
      </c>
      <c r="I23" s="1147">
        <f>IF(ISNUMBER(H23/B23),H23/B23," - ")</f>
        <v>1.7142857142857142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1847</v>
      </c>
      <c r="E31" s="1085">
        <f>IF(ISNUMBER(D31/B31),D31/B31," - ")</f>
        <v>307.83333333333331</v>
      </c>
      <c r="F31" s="1084">
        <f>SUBTOTAL(9,F8:F30)</f>
        <v>4956</v>
      </c>
      <c r="G31" s="1085">
        <f>IF(ISNUMBER(F31/B31),F31/B31," - ")</f>
        <v>826</v>
      </c>
      <c r="H31" s="1084">
        <f>SUBTOTAL(9,H8:H30)</f>
        <v>1640</v>
      </c>
      <c r="I31" s="1085">
        <f>IF(ISNUMBER(H31/B31),H31/B31," - ")</f>
        <v>273.33333333333331</v>
      </c>
    </row>
    <row r="34" spans="1:1">
      <c r="A34" s="439" t="str">
        <f>Criterios!A4</f>
        <v>Fecha Informe: 14 abr. 2023</v>
      </c>
    </row>
    <row r="39" spans="1:1">
      <c r="A39" s="462"/>
    </row>
  </sheetData>
  <sheetProtection algorithmName="SHA-512" hashValue="EN5+jvZt3YyK+EZOpsL406VHJdxUd70IkWCNSgu9yzGxdrPvzfRafsunA2HSVjOIn4IAEhRPEb6ABTb5usviJA==" saltValue="B/CDJH/nX3V3JCPzFDSj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BLANES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47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1019</v>
      </c>
      <c r="C12" s="489">
        <f>IF(ISNUMBER(Datos!Q12),Datos!Q12," - ")</f>
        <v>544</v>
      </c>
      <c r="D12" s="456">
        <f>IF(ISNUMBER(Datos!R12),Datos!R12," - ")</f>
        <v>9697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1021</v>
      </c>
      <c r="C14" s="1150">
        <f>SUBTOTAL(9,C9:C13)</f>
        <v>545</v>
      </c>
      <c r="D14" s="1148">
        <f>SUBTOTAL(9,D9:D13)</f>
        <v>9744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116</v>
      </c>
      <c r="C17" s="489">
        <f>IF(ISNUMBER(Datos!Q17),Datos!Q17," - ")</f>
        <v>99</v>
      </c>
      <c r="D17" s="456">
        <f>IF(ISNUMBER(Datos!R17),Datos!R17," - ")</f>
        <v>349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v>
      </c>
      <c r="C23" s="1150">
        <f>SUBTOTAL(9,C16:C22)</f>
        <v>99</v>
      </c>
      <c r="D23" s="1148">
        <f>SUBTOTAL(9,D16:D22)</f>
        <v>351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1137</v>
      </c>
      <c r="C31" s="1089">
        <f>SUBTOTAL(9,C8:C30)</f>
        <v>644</v>
      </c>
      <c r="D31" s="1090">
        <f>SUBTOTAL(9,D8:D30)</f>
        <v>10095</v>
      </c>
    </row>
    <row r="32" spans="1:4" ht="7.5" customHeight="1"/>
    <row r="33" spans="1:1" ht="6" customHeight="1"/>
    <row r="34" spans="1:1">
      <c r="A34" s="439" t="str">
        <f>Criterios!A4</f>
        <v>Fecha Informe: 14 abr. 2023</v>
      </c>
    </row>
    <row r="39" spans="1:1">
      <c r="A39" s="462"/>
    </row>
  </sheetData>
  <sheetProtection algorithmName="SHA-512" hashValue="Ueb+Xjt/6rekrucVkbTjT/DK3YO4g7RKaXgpBBsfSe1s0cL16K7g+bsT9o+IyRrFHI/TtIl0lwGkWz7hVrJDGw==" saltValue="Lh2B5rYDilCqsDW0nmU5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BLANES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-7.8651685393258425E-2</v>
      </c>
      <c r="C10" s="515">
        <f>IF(ISNUMBER((Datos!J10-Datos!T10)/Datos!T10),(Datos!J10-Datos!T10)/Datos!T10," - ")</f>
        <v>-0.26582278481012656</v>
      </c>
      <c r="D10" s="515">
        <f>IF(ISNUMBER((Datos!K10-Datos!U10)/Datos!U10),(Datos!K10-Datos!U10)/Datos!U10," - ")</f>
        <v>-0.41666666666666669</v>
      </c>
      <c r="E10" s="515">
        <f>IF(ISNUMBER((Datos!L10-Datos!V10)/Datos!V10),(Datos!L10-Datos!V10)/Datos!V10," - ")</f>
        <v>0.10975609756097561</v>
      </c>
      <c r="F10" s="515">
        <f>IF(ISNUMBER((Datos!M10-Datos!W10)/Datos!W10),(Datos!M10-Datos!W10)/Datos!W10," - ")</f>
        <v>-0.40625</v>
      </c>
      <c r="G10" s="516">
        <f>IF(ISNUMBER((Datos!N10-Datos!X10)/Datos!X10),(Datos!N10-Datos!X10)/Datos!X10," - ")</f>
        <v>-0.25</v>
      </c>
      <c r="H10" s="514">
        <f>IF(ISNUMBER(((NºAsuntos!G10/NºAsuntos!E10)-Datos!BD10)/Datos!BD10),((NºAsuntos!G10/NºAsuntos!E10)-Datos!BD10)/Datos!BD10," - ")</f>
        <v>-0.20545977011494243</v>
      </c>
      <c r="I10" s="515">
        <f>IF(ISNUMBER(((NºAsuntos!I10/NºAsuntos!G10)-Datos!BE10)/Datos!BE10),((NºAsuntos!I10/NºAsuntos!G10)-Datos!BE10)/Datos!BE10," - ")</f>
        <v>0.90243902439024404</v>
      </c>
      <c r="J10" s="521">
        <f>IF(ISNUMBER((('Resol  Asuntos'!D10/NºAsuntos!G10)-Datos!BF10)/Datos!BF10),(('Resol  Asuntos'!D10/NºAsuntos!G10)-Datos!BF10)/Datos!BF10," - ")</f>
        <v>1.7857142857142877E-2</v>
      </c>
      <c r="K10" s="522">
        <f>IF(ISNUMBER((((NºAsuntos!C10+NºAsuntos!E10)/NºAsuntos!G10)-Datos!BG10)/Datos!BG10),(((NºAsuntos!C10+NºAsuntos!E10)/NºAsuntos!G10)-Datos!BG10)/Datos!BG10," - ")</f>
        <v>0.4285714285714286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5.3494195310721603E-2</v>
      </c>
      <c r="C12" s="515">
        <f>IF(ISNUMBER(
   IF(J_V="SI",(Datos!J12-Datos!T12)/Datos!T12,(Datos!J12+Datos!Z12-(Datos!T12+Datos!AH12))/(Datos!T12+Datos!AH12))
     ),IF(J_V="SI",(Datos!J12-Datos!T12)/Datos!T12,(Datos!J12+Datos!Z12-(Datos!T12+Datos!AH12))/(Datos!T12+Datos!AH12))," - ")</f>
        <v>0.19586660403945513</v>
      </c>
      <c r="D12" s="515">
        <f>IF(ISNUMBER(
   IF(J_V="SI",(Datos!K12-Datos!U12)/Datos!U12,(Datos!K12+Datos!AA12-(Datos!U12+Datos!AI12))/(Datos!U12+Datos!AI12))
     ),IF(J_V="SI",(Datos!K12-Datos!U12)/Datos!U12,(Datos!K12+Datos!AA12-(Datos!U12+Datos!AI12))/(Datos!U12+Datos!AI12))," - ")</f>
        <v>1.4397266959492436E-2</v>
      </c>
      <c r="E12" s="515">
        <f>IF(ISNUMBER(
   IF(J_V="SI",(Datos!L12-Datos!V12)/Datos!V12,(Datos!L12+Datos!AB12-(Datos!V12+Datos!AJ12))/(Datos!V12+Datos!AJ12))
     ),IF(J_V="SI",(Datos!L12-Datos!V12)/Datos!V12,(Datos!L12+Datos!AB12-(Datos!V12+Datos!AJ12))/(Datos!V12+Datos!AJ12))," - ")</f>
        <v>0.20095073465859983</v>
      </c>
      <c r="F12" s="515">
        <f>IF(ISNUMBER((Datos!M12-Datos!W12)/Datos!W12),(Datos!M12-Datos!W12)/Datos!W12," - ")</f>
        <v>0.31988873435326842</v>
      </c>
      <c r="G12" s="516">
        <f>IF(ISNUMBER((Datos!N12-Datos!X12)/Datos!X12),(Datos!N12-Datos!X12)/Datos!X12," - ")</f>
        <v>-5.6224899598393573E-2</v>
      </c>
      <c r="H12" s="514">
        <f>IF(ISNUMBER(((NºAsuntos!G12/NºAsuntos!E12)-Datos!BD12)/Datos!BD12),((NºAsuntos!G12/NºAsuntos!E12)-Datos!BD12)/Datos!BD12," - ")</f>
        <v>-0.15174714007982751</v>
      </c>
      <c r="I12" s="515">
        <f>IF(ISNUMBER(((NºAsuntos!I12/NºAsuntos!G12)-Datos!BE12)/Datos!BE12),((NºAsuntos!I12/NºAsuntos!G12)-Datos!BE12)/Datos!BE12," - ")</f>
        <v>0.18390572784001491</v>
      </c>
      <c r="J12" s="521">
        <f>IF(ISNUMBER((('Resol  Asuntos'!D12/NºAsuntos!G12)-Datos!BF12)/Datos!BF12),(('Resol  Asuntos'!D12/NºAsuntos!G12)-Datos!BF12)/Datos!BF12," - ")</f>
        <v>-0.37380795735262434</v>
      </c>
      <c r="K12" s="522">
        <f>IF(ISNUMBER((((NºAsuntos!C12+NºAsuntos!E12)/NºAsuntos!G12)-Datos!BG12)/Datos!BG12),(((NºAsuntos!C12+NºAsuntos!E12)/NºAsuntos!G12)-Datos!BG12)/Datos!BG12," - ")</f>
        <v>0.10762278855688695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5.0870147255689425E-2</v>
      </c>
      <c r="C14" s="1152">
        <f>IF(ISNUMBER(
   IF(J_V="SI",(Datos!J14-Datos!T14)/Datos!T14,(Datos!J14+Datos!Z14-(Datos!T14+Datos!AH14))/(Datos!T14+Datos!AH14))
     ),IF(J_V="SI",(Datos!J14-Datos!T14)/Datos!T14,(Datos!J14+Datos!Z14-(Datos!T14+Datos!AH14))/(Datos!T14+Datos!AH14))," - ")</f>
        <v>0.18745676735070324</v>
      </c>
      <c r="D14" s="1152">
        <f>IF(ISNUMBER(
   IF(J_V="SI",(Datos!K14-Datos!U14)/Datos!U14,(Datos!K14+Datos!AA14-(Datos!U14+Datos!AI14))/(Datos!U14+Datos!AI14))
     ),IF(J_V="SI",(Datos!K14-Datos!U14)/Datos!U14,(Datos!K14+Datos!AA14-(Datos!U14+Datos!AI14))/(Datos!U14+Datos!AI14))," - ")</f>
        <v>5.7388809182209472E-3</v>
      </c>
      <c r="E14" s="1152">
        <f>IF(ISNUMBER(
   IF(J_V="SI",(Datos!L14-Datos!V14)/Datos!V14,(Datos!L14+Datos!AB14-(Datos!V14+Datos!AJ14))/(Datos!V14+Datos!AJ14))
     ),IF(J_V="SI",(Datos!L14-Datos!V14)/Datos!V14,(Datos!L14+Datos!AB14-(Datos!V14+Datos!AJ14))/(Datos!V14+Datos!AJ14))," - ")</f>
        <v>0.19936305732484078</v>
      </c>
      <c r="F14" s="1153">
        <f>IF(ISNUMBER((Datos!M14-Datos!W14)/Datos!W14),(Datos!M14-Datos!W14)/Datos!W14," - ")</f>
        <v>0.28894806924101196</v>
      </c>
      <c r="G14" s="1154">
        <f>IF(ISNUMBER((Datos!N14-Datos!X14)/Datos!X14),(Datos!N14-Datos!X14)/Datos!X14," - ")</f>
        <v>-5.8278145695364242E-2</v>
      </c>
      <c r="H14" s="1154">
        <f>IF(ISNUMBER(((NºAsuntos!G14/NºAsuntos!E14)-Datos!BD14)/Datos!BD14),((NºAsuntos!G14/NºAsuntos!E14)-Datos!BD14)/Datos!BD14," - ")</f>
        <v>-0.15303115989469429</v>
      </c>
      <c r="I14" s="1154">
        <f>IF(ISNUMBER(((NºAsuntos!I14/NºAsuntos!G14)-Datos!BE14)/Datos!BE14),((NºAsuntos!I14/NºAsuntos!G14)-Datos!BE14)/Datos!BE14," - ")</f>
        <v>0.19251933089217405</v>
      </c>
      <c r="J14" s="1154">
        <f>IF(ISNUMBER((('Resol  Asuntos'!D14/NºAsuntos!G14)-Datos!BF14)/Datos!BF14),(('Resol  Asuntos'!D14/NºAsuntos!G14)-Datos!BF14)/Datos!BF14," - ")</f>
        <v>-0.36928147955644713</v>
      </c>
      <c r="K14" s="1154">
        <f>IF(ISNUMBER((((NºAsuntos!C14+NºAsuntos!E14)/NºAsuntos!G14)-Datos!BG14)/Datos!BG14),(((NºAsuntos!C14+NºAsuntos!E14)/NºAsuntos!G14)-Datos!BG14)/Datos!BG14," - ")</f>
        <v>0.11166090461862659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-9.5003287310979623E-2</v>
      </c>
      <c r="C17" s="515">
        <f>IF(ISNUMBER(
   IF(D_I="SI",(Datos!J17-Datos!T17)/Datos!T17,(Datos!J17+Datos!AD17-(Datos!T17+Datos!AL17))/(Datos!T17+Datos!AL17))
     ),IF(D_I="SI",(Datos!J17-Datos!T17)/Datos!T17,(Datos!J17+Datos!AD17-(Datos!T17+Datos!AL17))/(Datos!T17+Datos!AL17))," - ")</f>
        <v>6.8696755483052388E-2</v>
      </c>
      <c r="D17" s="515">
        <f>IF(ISNUMBER(
   IF(D_I="SI",(Datos!K17-Datos!U17)/Datos!U17,(Datos!K17+Datos!AE17-(Datos!U17+Datos!AM17))/(Datos!U17+Datos!AM17))
     ),IF(D_I="SI",(Datos!K17-Datos!U17)/Datos!U17,(Datos!K17+Datos!AE17-(Datos!U17+Datos!AM17))/(Datos!U17+Datos!AM17))," - ")</f>
        <v>2.9293809938971228E-2</v>
      </c>
      <c r="E17" s="515">
        <f>IF(ISNUMBER(
   IF(D_I="SI",(Datos!L17-Datos!V17)/Datos!V17,(Datos!L17+Datos!AF17-(Datos!V17+Datos!AN17))/(Datos!V17+Datos!AN17))
     ),IF(D_I="SI",(Datos!L17-Datos!V17)/Datos!V17,(Datos!L17+Datos!AF17-(Datos!V17+Datos!AN17))/(Datos!V17+Datos!AN17))," - ")</f>
        <v>8.7177624409734839E-3</v>
      </c>
      <c r="F17" s="515">
        <f>IF(ISNUMBER((Datos!M17-Datos!W17)/Datos!W17),(Datos!M17-Datos!W17)/Datos!W17," - ")</f>
        <v>-0.13238289205702647</v>
      </c>
      <c r="G17" s="516">
        <f>IF(ISNUMBER((Datos!N17-Datos!X17)/Datos!X17),(Datos!N17-Datos!X17)/Datos!X17," - ")</f>
        <v>4.1203400915631135E-2</v>
      </c>
      <c r="H17" s="514">
        <f>IF(ISNUMBER(((NºAsuntos!G17/NºAsuntos!E17)-Datos!BD17)/Datos!BD17),((NºAsuntos!G17/NºAsuntos!E17)-Datos!BD17)/Datos!BD17," - ")</f>
        <v>-3.6870089987567085E-2</v>
      </c>
      <c r="I17" s="515">
        <f>IF(ISNUMBER(((NºAsuntos!I17/NºAsuntos!G17)-Datos!BE17)/Datos!BE17),((NºAsuntos!I17/NºAsuntos!G17)-Datos!BE17)/Datos!BE17," - ")</f>
        <v>-1.9990451025074872E-2</v>
      </c>
      <c r="J17" s="521">
        <f>IF(ISNUMBER((('Resol  Asuntos'!D17/NºAsuntos!G17)-Datos!BF17)/Datos!BF17),(('Resol  Asuntos'!D17/NºAsuntos!G17)-Datos!BF17)/Datos!BF17," - ")</f>
        <v>-0.15707536607607103</v>
      </c>
      <c r="K17" s="522">
        <f>IF(ISNUMBER((((NºAsuntos!C17+NºAsuntos!E17)/NºAsuntos!G17)-Datos!BG17)/Datos!BG17),(((NºAsuntos!C17+NºAsuntos!E17)/NºAsuntos!G17)-Datos!BG17)/Datos!BG17," - ")</f>
        <v>-1.8244122960165966E-2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-5.4761904761904762E-2</v>
      </c>
      <c r="C18" s="515">
        <f>IF(ISNUMBER(
   IF(D_I="SI",(Datos!J18-Datos!T18)/Datos!T18,(Datos!J18+Datos!AD18-(Datos!T18+Datos!AL18))/(Datos!T18+Datos!AL18))
     ),IF(D_I="SI",(Datos!J18-Datos!T18)/Datos!T18,(Datos!J18+Datos!AD18-(Datos!T18+Datos!AL18))/(Datos!T18+Datos!AL18))," - ")</f>
        <v>0.10619469026548672</v>
      </c>
      <c r="D18" s="515">
        <f>IF(ISNUMBER(
   IF(D_I="SI",(Datos!K18-Datos!U18)/Datos!U18,(Datos!K18+Datos!AE18-(Datos!U18+Datos!AM18))/(Datos!U18+Datos!AM18))
     ),IF(D_I="SI",(Datos!K18-Datos!U18)/Datos!U18,(Datos!K18+Datos!AE18-(Datos!U18+Datos!AM18))/(Datos!U18+Datos!AM18))," - ")</f>
        <v>0.16610169491525423</v>
      </c>
      <c r="E18" s="515">
        <f>IF(ISNUMBER(
   IF(D_I="SI",(Datos!L18-Datos!V18)/Datos!V18,(Datos!L18+Datos!AF18-(Datos!V18+Datos!AN18))/(Datos!V18+Datos!AN18))
     ),IF(D_I="SI",(Datos!L18-Datos!V18)/Datos!V18,(Datos!L18+Datos!AF18-(Datos!V18+Datos!AN18))/(Datos!V18+Datos!AN18))," - ")</f>
        <v>-0.19395465994962216</v>
      </c>
      <c r="F18" s="515">
        <f>IF(ISNUMBER((Datos!M18-Datos!W18)/Datos!W18),(Datos!M18-Datos!W18)/Datos!W18," - ")</f>
        <v>0.22727272727272727</v>
      </c>
      <c r="G18" s="516">
        <f>IF(ISNUMBER((Datos!N18-Datos!X18)/Datos!X18),(Datos!N18-Datos!X18)/Datos!X18," - ")</f>
        <v>0.19047619047619047</v>
      </c>
      <c r="H18" s="514">
        <f>IF(ISNUMBER(((NºAsuntos!G18/NºAsuntos!E18)-Datos!BD18)/Datos!BD18),((NºAsuntos!G18/NºAsuntos!E18)-Datos!BD18)/Datos!BD18," - ")</f>
        <v>5.415593220338976E-2</v>
      </c>
      <c r="I18" s="515">
        <f>IF(ISNUMBER(((NºAsuntos!I18/NºAsuntos!G18)-Datos!BE18)/Datos!BE18),((NºAsuntos!I18/NºAsuntos!G18)-Datos!BE18)/Datos!BE18," - ")</f>
        <v>-0.30876925780563536</v>
      </c>
      <c r="J18" s="521">
        <f>IF(ISNUMBER((('Resol  Asuntos'!D18/NºAsuntos!G18)-Datos!BF18)/Datos!BF18),(('Resol  Asuntos'!D18/NºAsuntos!G18)-Datos!BF18)/Datos!BF18," - ")</f>
        <v>5.2457716701902704E-2</v>
      </c>
      <c r="K18" s="522">
        <f>IF(ISNUMBER((((NºAsuntos!C18+NºAsuntos!E18)/NºAsuntos!G18)-Datos!BG18)/Datos!BG18),(((NºAsuntos!C18+NºAsuntos!E18)/NºAsuntos!G18)-Datos!BG18)/Datos!BG18," - ")</f>
        <v>-0.11022901664502421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-9.0121317157712308E-2</v>
      </c>
      <c r="C23" s="1152">
        <f>IF(ISNUMBER(
   IF(Criterios!B14="SI",(Datos!J23-Datos!T23)/Datos!T23,(Datos!J23+Datos!AD23-(Datos!T23+Datos!AL23))/(Datos!T23+Datos!AL23))
     ),IF(Criterios!B14="SI",(Datos!J23-Datos!T23)/Datos!T23,(Datos!J23+Datos!AD23-(Datos!T23+Datos!AL23))/(Datos!T23+Datos!AL23))," - ")</f>
        <v>7.2180203880302538E-2</v>
      </c>
      <c r="D23" s="1152">
        <f>IF(ISNUMBER(
   IF(Criterios!B14="SI",(Datos!K23-Datos!U23)/Datos!U23,(Datos!K23+Datos!AE23-(Datos!U23+Datos!AM23))/(Datos!U23+Datos!AM23))
     ),IF(Criterios!B14="SI",(Datos!K23-Datos!U23)/Datos!U23,(Datos!K23+Datos!AE23-(Datos!U23+Datos!AM23))/(Datos!U23+Datos!AM23))," - ")</f>
        <v>4.2055335968379445E-2</v>
      </c>
      <c r="E23" s="1152">
        <f>IF(ISNUMBER(
   IF(Criterios!B14="SI",(Datos!L23-Datos!V23)/Datos!V23,(Datos!L23+Datos!AF23-(Datos!V23+Datos!AN23))/(Datos!V23+Datos!AN23))
     ),IF(Criterios!B14="SI",(Datos!L23-Datos!V23)/Datos!V23,(Datos!L23+Datos!AF23-(Datos!V23+Datos!AN23))/(Datos!V23+Datos!AN23))," - ")</f>
        <v>-1.6825396825396827E-2</v>
      </c>
      <c r="F23" s="1153">
        <f>IF(ISNUMBER((Datos!M23-Datos!W23)/Datos!W23),(Datos!M23-Datos!W23)/Datos!W23," - ")</f>
        <v>-0.12450199203187251</v>
      </c>
      <c r="G23" s="1154">
        <f>IF(ISNUMBER((Datos!N23-Datos!X23)/Datos!X23),(Datos!N23-Datos!X23)/Datos!X23," - ")</f>
        <v>5.4295942720763726E-2</v>
      </c>
      <c r="H23" s="1154">
        <f>IF(ISNUMBER(((NºAsuntos!G23/NºAsuntos!E23)-Datos!BD23)/Datos!BD23),((NºAsuntos!G23/NºAsuntos!E23)-Datos!BD23)/Datos!BD23," - ")</f>
        <v>-2.8096832792565096E-2</v>
      </c>
      <c r="I23" s="1154">
        <f>IF(ISNUMBER(((NºAsuntos!I23/NºAsuntos!G23)-Datos!BE23)/Datos!BE23),((NºAsuntos!I23/NºAsuntos!G23)-Datos!BE23)/Datos!BE23," - ")</f>
        <v>-5.6504420409745855E-2</v>
      </c>
      <c r="J23" s="1154">
        <f>IF(ISNUMBER((('Resol  Asuntos'!D23/NºAsuntos!G23)-Datos!BF23)/Datos!BF23),(('Resol  Asuntos'!D23/NºAsuntos!G23)-Datos!BF23)/Datos!BF23," - ")</f>
        <v>-0.15983539669270108</v>
      </c>
      <c r="K23" s="1154">
        <f>IF(ISNUMBER((((NºAsuntos!C23+NºAsuntos!E23)/NºAsuntos!G23)-Datos!BG23)/Datos!BG23),(((NºAsuntos!C23+NºAsuntos!E23)/NºAsuntos!G23)-Datos!BG23)/Datos!BG23," - ")</f>
        <v>-2.7588310687578211E-2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-1.0574018126888218E-2</v>
      </c>
      <c r="C31" s="1092">
        <f>IF(ISNUMBER(
   IF(J_V="SI",(Datos!J31-Datos!T31)/Datos!T31,(Datos!J31+Datos!Z31-(Datos!T31+Datos!AH31))/(Datos!T31+Datos!AH31))
     ),IF(J_V="SI",(Datos!J31-Datos!T31)/Datos!T31,(Datos!J31+Datos!Z31-(Datos!T31+Datos!AH31))/(Datos!T31+Datos!AH31))," - ")</f>
        <v>0.1201650830214032</v>
      </c>
      <c r="D31" s="1092">
        <f>IF(ISNUMBER(
   IF(J_V="SI",(Datos!K31-Datos!U31)/Datos!U31,(Datos!K31+Datos!AA31-(Datos!U31+Datos!AI31))/(Datos!U31+Datos!AI31))
     ),IF(J_V="SI",(Datos!K31-Datos!U31)/Datos!U31,(Datos!K31+Datos!AA31-(Datos!U31+Datos!AI31))/(Datos!U31+Datos!AI31))," - ")</f>
        <v>2.7600647187589228E-2</v>
      </c>
      <c r="E31" s="1092">
        <f>IF(ISNUMBER(
   IF(J_V="SI",(Datos!L31-Datos!V31)/Datos!V31,(Datos!L31+Datos!AB31-(Datos!V31+Datos!AJ31))/(Datos!V31+Datos!AJ31))
     ),IF(J_V="SI",(Datos!L31-Datos!V31)/Datos!V31,(Datos!L31+Datos!AB31-(Datos!V31+Datos!AJ31))/(Datos!V31+Datos!AJ31))," - ")</f>
        <v>0.11272264631043256</v>
      </c>
      <c r="F31" s="1093">
        <f>IF(ISNUMBER((Datos!M31-Datos!W31)/Datos!W31),(Datos!M31-Datos!W31)/Datos!W31," - ")</f>
        <v>5.242165242165242E-2</v>
      </c>
      <c r="G31" s="1094">
        <f>IF(ISNUMBER((Datos!N31-Datos!X31)/Datos!X31),(Datos!N31-Datos!X31)/Datos!X31," - ")</f>
        <v>1.9333607568901685E-2</v>
      </c>
      <c r="H31" s="1095">
        <f>IF(ISNUMBER((Tasas!B31-Datos!BD31)/Datos!BD31),(Tasas!B31-Datos!BD31)/Datos!BD31," - ")</f>
        <v>-8.2634637730486515E-2</v>
      </c>
      <c r="I31" s="1096">
        <f>IF(ISNUMBER((Tasas!C31-Datos!BE31)/Datos!BE31),(Tasas!C31-Datos!BE31)/Datos!BE31," - ")</f>
        <v>8.2835680724619373E-2</v>
      </c>
      <c r="J31" s="1097">
        <f>IF(ISNUMBER((Tasas!D31-Datos!BF31)/Datos!BF31),(Tasas!D31-Datos!BF31)/Datos!BF31," - ")</f>
        <v>-0.28956883426482471</v>
      </c>
      <c r="K31" s="1097">
        <f>IF(ISNUMBER((Tasas!E31-Datos!BG31)/Datos!BG31),(Tasas!E31-Datos!BG31)/Datos!BG31," - ")</f>
        <v>3.5038433929574272E-2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cDLoANV3+7w4KX31kmx9xzDr5Nu6LbpF3tFSuiLr5PH4reGP0jm4BTh1SxSnQzK+xBzLAOSSNeWBD9+k0xkFA==" saltValue="M8wHkJG56MkEZGiWJMMp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BLANES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0.84482758620689657</v>
      </c>
      <c r="C10" s="498">
        <f>IF(ISNUMBER(NºAsuntos!I10/NºAsuntos!G10),NºAsuntos!I10/NºAsuntos!G10," - ")</f>
        <v>1.8571428571428572</v>
      </c>
      <c r="D10" s="499">
        <f>IF(ISNUMBER('Resol  Asuntos'!D10/NºAsuntos!G10),'Resol  Asuntos'!D10/NºAsuntos!G10," - ")</f>
        <v>0.38775510204081631</v>
      </c>
      <c r="E10" s="500">
        <f>IF(ISNUMBER((NºAsuntos!C10+NºAsuntos!E10)/NºAsuntos!G10),(NºAsuntos!C10+NºAsuntos!E10)/NºAsuntos!G10," - ")</f>
        <v>2.8571428571428572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0.81637863315003922</v>
      </c>
      <c r="C12" s="498">
        <f>IF(ISNUMBER(NºAsuntos!I12/NºAsuntos!G12),NºAsuntos!I12/NºAsuntos!G12," - ")</f>
        <v>1.3370218907866249</v>
      </c>
      <c r="D12" s="499">
        <f>IF(ISNUMBER('Resol  Asuntos'!D12/NºAsuntos!G12),'Resol  Asuntos'!D12/NºAsuntos!G12," - ")</f>
        <v>0.22828963194611498</v>
      </c>
      <c r="E12" s="500">
        <f>IF(ISNUMBER((NºAsuntos!C12+NºAsuntos!E12)/NºAsuntos!G12),(NºAsuntos!C12+NºAsuntos!E12)/NºAsuntos!G12," - ")</f>
        <v>2.3382246812605243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0.81669902912621362</v>
      </c>
      <c r="C14" s="1156">
        <f>IF(ISNUMBER(NºAsuntos!I14/NºAsuntos!G14),NºAsuntos!I14/NºAsuntos!G14," - ")</f>
        <v>1.3430813124108416</v>
      </c>
      <c r="D14" s="1157">
        <f>IF(ISNUMBER('Resol  Asuntos'!D14/NºAsuntos!G14),'Resol  Asuntos'!D14/NºAsuntos!G14," - ")</f>
        <v>0.2301474084640989</v>
      </c>
      <c r="E14" s="1158">
        <f>IF(ISNUMBER((NºAsuntos!C14+NºAsuntos!E14)/NºAsuntos!G14),(NºAsuntos!C14+NºAsuntos!E14)/NºAsuntos!G14," - ")</f>
        <v>2.344270090347123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1.0011872455902306</v>
      </c>
      <c r="C17" s="498">
        <f>IF(ISNUMBER(NºAsuntos!I17/NºAsuntos!G17),NºAsuntos!I17/NºAsuntos!G17," - ")</f>
        <v>0.47043875995256651</v>
      </c>
      <c r="D17" s="499">
        <f>IF(ISNUMBER('Resol  Asuntos'!D17/NºAsuntos!G17),'Resol  Asuntos'!D17/NºAsuntos!G17," - ")</f>
        <v>0.14433338980179569</v>
      </c>
      <c r="E17" s="500">
        <f>IF(ISNUMBER((NºAsuntos!C17+NºAsuntos!E17)/NºAsuntos!G17),(NºAsuntos!C17+NºAsuntos!E17)/NºAsuntos!G17," - ")</f>
        <v>1.4651871929527358</v>
      </c>
      <c r="G17" s="523"/>
    </row>
    <row r="18" spans="1:7">
      <c r="A18" s="450" t="str">
        <f>Datos!A18</f>
        <v>Jdos. Violencia contra la mujer</v>
      </c>
      <c r="B18" s="497">
        <f>IF(ISNUMBER(NºAsuntos!G18/NºAsuntos!E18),NºAsuntos!G18/NºAsuntos!E18," - ")</f>
        <v>1.1008</v>
      </c>
      <c r="C18" s="498">
        <f>IF(ISNUMBER(NºAsuntos!I18/NºAsuntos!G18),NºAsuntos!I18/NºAsuntos!G18," - ")</f>
        <v>0.46511627906976744</v>
      </c>
      <c r="D18" s="499">
        <f>IF(ISNUMBER('Resol  Asuntos'!D18/NºAsuntos!G18),'Resol  Asuntos'!D18/NºAsuntos!G18," - ")</f>
        <v>3.9244186046511628E-2</v>
      </c>
      <c r="E18" s="500">
        <f>IF(ISNUMBER((NºAsuntos!C18+NºAsuntos!E18)/NºAsuntos!G18),(NºAsuntos!C18+NºAsuntos!E18)/NºAsuntos!G18," - ")</f>
        <v>1.4854651162790697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1.010734549915657</v>
      </c>
      <c r="C23" s="1156">
        <f>IF(ISNUMBER(NºAsuntos!I23/NºAsuntos!G23),NºAsuntos!I23/NºAsuntos!G23," - ")</f>
        <v>0.46988317402518587</v>
      </c>
      <c r="D23" s="1159">
        <f>IF(ISNUMBER('Resol  Asuntos'!D23/NºAsuntos!G23),'Resol  Asuntos'!D23/NºAsuntos!G23," - ")</f>
        <v>0.13336367774237598</v>
      </c>
      <c r="E23" s="1158">
        <f>IF(ISNUMBER((NºAsuntos!C23+NºAsuntos!E23)/NºAsuntos!G23),(NºAsuntos!C23+NºAsuntos!E23)/NºAsuntos!G23," - ")</f>
        <v>1.4673038992565619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0.92511352926056034</v>
      </c>
      <c r="C31" s="1099">
        <f>IF(ISNUMBER(NºAsuntos!I31/NºAsuntos!G31),NºAsuntos!I31/NºAsuntos!G31," - ")</f>
        <v>0.81003982587755863</v>
      </c>
      <c r="D31" s="1100">
        <f>IF(ISNUMBER('Resol  Asuntos'!D31/NºAsuntos!G31),'Resol  Asuntos'!D31/NºAsuntos!G31," - ")</f>
        <v>0.17106603686209132</v>
      </c>
      <c r="E31" s="1101">
        <f>IF(ISNUMBER((NºAsuntos!C31+NºAsuntos!E31)/NºAsuntos!G31),(NºAsuntos!C31+NºAsuntos!E31)/NºAsuntos!G31," - ")</f>
        <v>1.8089284060387145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4aXFz9YBZr595vOff6K2mYQc08F48tAcJgsluZD6HoBlrg3Uhsc984fU/jG1t+DIB0fbWibKF+vZ/pi8z/0w==" saltValue="Lh2fxAhdLqQr/Fa5STWS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BLANES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82</v>
      </c>
      <c r="G10" s="373">
        <f>IF(ISNUMBER(Datos!I10),Datos!I10," - ")</f>
        <v>82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1</v>
      </c>
      <c r="Y10" s="374">
        <f t="shared" ref="Y10:Y13" si="0">SUM(W10:X10)</f>
        <v>50</v>
      </c>
      <c r="Z10" s="375" t="str">
        <f>IF(ISNUMBER(Datos!CC10),Datos!CC10," - ")</f>
        <v xml:space="preserve"> - </v>
      </c>
      <c r="AA10" s="372">
        <f>IF(ISNUMBER(Datos!L10),Datos!L10,"-")</f>
        <v>91</v>
      </c>
      <c r="AB10" s="374">
        <f>IF(ISNUMBER(Datos!R10),Datos!R10," - ")</f>
        <v>47</v>
      </c>
      <c r="AC10" s="374">
        <f t="shared" ref="AC10:AC13" si="1">IF(ISNUMBER(AA10+AB10),AA10+AB10," - ")</f>
        <v>138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0.84482758620689657</v>
      </c>
      <c r="AM10" s="284">
        <f>IF(ISNUMBER(((NºAsuntos!I10/NºAsuntos!G10)*11)/factor_trimestre),((NºAsuntos!I10/NºAsuntos!G10)*11)/factor_trimestre," - ")</f>
        <v>20.428571428571431</v>
      </c>
      <c r="AN10" s="267">
        <f>IF(ISNUMBER('Resol  Asuntos'!D10/NºAsuntos!G10),'Resol  Asuntos'!D10/NºAsuntos!G10," - ")</f>
        <v>0.38775510204081631</v>
      </c>
      <c r="AO10" s="268">
        <f>IF(ISNUMBER((NºAsuntos!C10+NºAsuntos!E10)/NºAsuntos!G10),(NºAsuntos!C10+NºAsuntos!E10)/NºAsuntos!G10," - ")</f>
        <v>2.8571428571428572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544</v>
      </c>
      <c r="Y12" s="374">
        <f t="shared" si="0"/>
        <v>544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9697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949</v>
      </c>
      <c r="AJ12" s="243" t="str">
        <f>IF(ISNUMBER(Datos!BW12),Datos!BW12," - ")</f>
        <v xml:space="preserve"> - </v>
      </c>
      <c r="AK12" s="242" t="str">
        <f>IF(ISNUMBER(Datos!BX12),Datos!BX12," - ")</f>
        <v xml:space="preserve"> - </v>
      </c>
      <c r="AL12" s="266">
        <f>IF(ISNUMBER(NºAsuntos!G12/NºAsuntos!E12),NºAsuntos!G12/NºAsuntos!E12," - ")</f>
        <v>0.81637863315003922</v>
      </c>
      <c r="AM12" s="284">
        <f>IF(ISNUMBER(((NºAsuntos!I12/NºAsuntos!G12)*11)/factor_trimestre),((NºAsuntos!I12/NºAsuntos!G12)*11)/factor_trimestre," - ")</f>
        <v>14.707240798652874</v>
      </c>
      <c r="AN12" s="267">
        <f>IF(ISNUMBER('Resol  Asuntos'!D12/NºAsuntos!G12),'Resol  Asuntos'!D12/NºAsuntos!G12," - ")</f>
        <v>0.22828963194611498</v>
      </c>
      <c r="AO12" s="268">
        <f>IF(ISNUMBER((NºAsuntos!C12+NºAsuntos!E12)/NºAsuntos!G12),(NºAsuntos!C12+NºAsuntos!E12)/NºAsuntos!G12," - ")</f>
        <v>2.3382246812605243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82</v>
      </c>
      <c r="G14" s="1163">
        <f t="shared" si="5"/>
        <v>82</v>
      </c>
      <c r="H14" s="1162">
        <f t="shared" si="5"/>
        <v>0</v>
      </c>
      <c r="I14" s="1164">
        <f t="shared" si="5"/>
        <v>0</v>
      </c>
      <c r="J14" s="1164">
        <f t="shared" si="5"/>
        <v>0</v>
      </c>
      <c r="K14" s="1164">
        <f t="shared" si="5"/>
        <v>0</v>
      </c>
      <c r="L14" s="1164">
        <f t="shared" si="5"/>
        <v>1021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545</v>
      </c>
      <c r="Y14" s="1165">
        <f t="shared" si="6"/>
        <v>594</v>
      </c>
      <c r="Z14" s="1165">
        <f t="shared" si="6"/>
        <v>0</v>
      </c>
      <c r="AA14" s="1165">
        <f t="shared" si="6"/>
        <v>91</v>
      </c>
      <c r="AB14" s="1165">
        <f t="shared" si="6"/>
        <v>9744</v>
      </c>
      <c r="AC14" s="1165">
        <f t="shared" si="6"/>
        <v>138</v>
      </c>
      <c r="AD14" s="1165">
        <f t="shared" si="6"/>
        <v>0</v>
      </c>
      <c r="AE14" s="1169">
        <f t="shared" si="6"/>
        <v>0</v>
      </c>
      <c r="AF14" s="1162">
        <f t="shared" si="6"/>
        <v>0</v>
      </c>
      <c r="AG14" s="1170">
        <f t="shared" si="6"/>
        <v>0</v>
      </c>
      <c r="AH14" s="1167">
        <f t="shared" si="6"/>
        <v>0</v>
      </c>
      <c r="AI14" s="1162">
        <f t="shared" si="6"/>
        <v>968</v>
      </c>
      <c r="AJ14" s="1164">
        <f t="shared" si="6"/>
        <v>0</v>
      </c>
      <c r="AK14" s="1167">
        <f>SUBTOTAL(9,AK9:AK13)</f>
        <v>0</v>
      </c>
      <c r="AL14" s="1171">
        <f>IF(ISNUMBER(NºAsuntos!G14/NºAsuntos!E14),NºAsuntos!G14/NºAsuntos!E14," - ")</f>
        <v>0.81669902912621362</v>
      </c>
      <c r="AM14" s="1171">
        <f>IF(ISNUMBER(((NºAsuntos!I14/NºAsuntos!G14)*11)/factor_trimestre),((NºAsuntos!I14/NºAsuntos!G14)*11)/factor_trimestre," - ")</f>
        <v>14.773894436519258</v>
      </c>
      <c r="AN14" s="1172">
        <f>IF(ISNUMBER('Resol  Asuntos'!D14/NºAsuntos!G14),'Resol  Asuntos'!D14/NºAsuntos!G14," - ")</f>
        <v>0.2301474084640989</v>
      </c>
      <c r="AO14" s="1173">
        <f>IF(ISNUMBER((NºAsuntos!C14+NºAsuntos!E14)/NºAsuntos!G14),(NºAsuntos!C14+NºAsuntos!E14)/NºAsuntos!G14," - ")</f>
        <v>2.344270090347123</v>
      </c>
      <c r="AP14" s="1174" t="str">
        <f t="shared" si="2"/>
        <v xml:space="preserve"> - </v>
      </c>
      <c r="AQ14" s="1174">
        <f>IF(ISNUMBER((H14-W14+K14)/(F14)),(H14-W14+K14)/(F14)," - ")</f>
        <v>-0.59756097560975607</v>
      </c>
      <c r="AR14" s="1175">
        <f>IF(ISNUMBER((Datos!P14-Datos!Q14)/(Datos!R14-Datos!P14+Datos!Q14)),(Datos!P14-Datos!Q14)/(Datos!R14-Datos!P14+Datos!Q14)," - ")</f>
        <v>5.1359516616314202E-2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2784</v>
      </c>
      <c r="G17" s="373">
        <f>IF(ISNUMBER(IF(D_I="SI",Datos!I17,Datos!I17+Datos!AC17)),IF(D_I="SI",Datos!I17,Datos!I17+Datos!AC17)," - ")</f>
        <v>2753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5903</v>
      </c>
      <c r="X17" s="240">
        <f>IF(ISNUMBER(Datos!Q17),Datos!Q17," - ")</f>
        <v>99</v>
      </c>
      <c r="Y17" s="374">
        <f t="shared" ref="Y17:Y22" si="9">SUM(W17:X17)</f>
        <v>6002</v>
      </c>
      <c r="Z17" s="375" t="str">
        <f>IF(ISNUMBER(Datos!CC17),Datos!CC17," - ")</f>
        <v xml:space="preserve"> - </v>
      </c>
      <c r="AA17" s="372">
        <f>IF(ISNUMBER(IF(D_I="SI",Datos!L17,Datos!L17+Datos!AF17)),IF(D_I="SI",Datos!L17,Datos!L17+Datos!AF17)," - ")</f>
        <v>2777</v>
      </c>
      <c r="AB17" s="374">
        <f>IF(ISNUMBER(Datos!R17),Datos!R17," - ")</f>
        <v>349</v>
      </c>
      <c r="AC17" s="374">
        <f t="shared" si="8"/>
        <v>3126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852</v>
      </c>
      <c r="AJ17" s="245" t="str">
        <f>IF(ISNUMBER(Datos!BW17),Datos!BW17," - ")</f>
        <v xml:space="preserve"> - </v>
      </c>
      <c r="AK17" s="246" t="str">
        <f>IF(ISNUMBER(Datos!BX17),Datos!BX17," - ")</f>
        <v xml:space="preserve"> - </v>
      </c>
      <c r="AL17" s="266">
        <f>IF(ISNUMBER(NºAsuntos!G17/NºAsuntos!E17),NºAsuntos!G17/NºAsuntos!E17," - ")</f>
        <v>1.0011872455902306</v>
      </c>
      <c r="AM17" s="284">
        <f>IF(ISNUMBER(((NºAsuntos!I17/NºAsuntos!G17)*11)/factor_trimestre),((NºAsuntos!I17/NºAsuntos!G17)*11)/factor_trimestre," - ")</f>
        <v>5.1748263594782316</v>
      </c>
      <c r="AN17" s="267">
        <f>IF(ISNUMBER('Resol  Asuntos'!D17/NºAsuntos!G17),'Resol  Asuntos'!D17/NºAsuntos!G17," - ")</f>
        <v>0.14433338980179569</v>
      </c>
      <c r="AO17" s="268">
        <f>IF(ISNUMBER((NºAsuntos!C17+NºAsuntos!E17)/NºAsuntos!G17),(NºAsuntos!C17+NºAsuntos!E17)/NºAsuntos!G17," - ")</f>
        <v>1.4651871929527358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688</v>
      </c>
      <c r="X18" s="240">
        <f>IF(ISNUMBER(Datos!Q18),Datos!Q18," - ")</f>
        <v>0</v>
      </c>
      <c r="Y18" s="374">
        <f t="shared" si="9"/>
        <v>688</v>
      </c>
      <c r="Z18" s="375" t="str">
        <f>IF(ISNUMBER(Datos!CC18),Datos!CC18," - ")</f>
        <v xml:space="preserve"> - </v>
      </c>
      <c r="AA18" s="372">
        <f>IF(ISNUMBER(Datos!L18),Datos!L18,"-")</f>
        <v>320</v>
      </c>
      <c r="AB18" s="374">
        <f>IF(ISNUMBER(Datos!R18),Datos!R18," - ")</f>
        <v>2</v>
      </c>
      <c r="AC18" s="374">
        <f t="shared" si="8"/>
        <v>322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1.1008</v>
      </c>
      <c r="AM18" s="284">
        <f>IF(ISNUMBER(((NºAsuntos!I18/NºAsuntos!G18)*11)/factor_trimestre),((NºAsuntos!I18/NºAsuntos!G18)*11)/factor_trimestre," - ")</f>
        <v>5.1162790697674421</v>
      </c>
      <c r="AN18" s="267">
        <f>IF(ISNUMBER('Resol  Asuntos'!D18/NºAsuntos!G18),'Resol  Asuntos'!D18/NºAsuntos!G18," - ")</f>
        <v>3.9244186046511628E-2</v>
      </c>
      <c r="AO18" s="268">
        <f>IF(ISNUMBER((NºAsuntos!C18+NºAsuntos!E18)/NºAsuntos!G18),(NºAsuntos!C18+NºAsuntos!E18)/NºAsuntos!G18," - ")</f>
        <v>1.4854651162790697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2784</v>
      </c>
      <c r="G23" s="1163">
        <f>SUBTOTAL(9,G16:G22)</f>
        <v>3150</v>
      </c>
      <c r="H23" s="1162">
        <f t="shared" ref="H23:O23" si="13">SUBTOTAL(9,H15:H22)</f>
        <v>0</v>
      </c>
      <c r="I23" s="1164">
        <f t="shared" si="13"/>
        <v>0</v>
      </c>
      <c r="J23" s="1164">
        <f t="shared" si="13"/>
        <v>0</v>
      </c>
      <c r="K23" s="1164">
        <f t="shared" si="13"/>
        <v>0</v>
      </c>
      <c r="L23" s="1164">
        <f t="shared" si="13"/>
        <v>116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6591</v>
      </c>
      <c r="X23" s="1164">
        <f t="shared" si="14"/>
        <v>99</v>
      </c>
      <c r="Y23" s="1165">
        <f t="shared" si="14"/>
        <v>6690</v>
      </c>
      <c r="Z23" s="1165">
        <f t="shared" si="14"/>
        <v>0</v>
      </c>
      <c r="AA23" s="1165">
        <f t="shared" si="14"/>
        <v>3097</v>
      </c>
      <c r="AB23" s="1165">
        <f t="shared" si="14"/>
        <v>351</v>
      </c>
      <c r="AC23" s="1165">
        <f t="shared" si="14"/>
        <v>3448</v>
      </c>
      <c r="AD23" s="1165">
        <f t="shared" si="14"/>
        <v>0</v>
      </c>
      <c r="AE23" s="1169">
        <f t="shared" si="14"/>
        <v>0</v>
      </c>
      <c r="AF23" s="1162">
        <f t="shared" si="14"/>
        <v>0</v>
      </c>
      <c r="AG23" s="1170">
        <f t="shared" si="14"/>
        <v>0</v>
      </c>
      <c r="AH23" s="1167">
        <f t="shared" si="14"/>
        <v>0</v>
      </c>
      <c r="AI23" s="1162">
        <f t="shared" si="14"/>
        <v>879</v>
      </c>
      <c r="AJ23" s="1164">
        <f t="shared" si="14"/>
        <v>0</v>
      </c>
      <c r="AK23" s="1167">
        <f t="shared" si="14"/>
        <v>0</v>
      </c>
      <c r="AL23" s="1171">
        <f>IF(ISNUMBER(NºAsuntos!G23/NºAsuntos!E23),NºAsuntos!G23/NºAsuntos!E23," - ")</f>
        <v>1.010734549915657</v>
      </c>
      <c r="AM23" s="1171">
        <f>IF(ISNUMBER(((NºAsuntos!I23/NºAsuntos!G23)*11)/factor_trimestre),((NºAsuntos!I23/NºAsuntos!G23)*11)/factor_trimestre," - ")</f>
        <v>5.1687149142770448</v>
      </c>
      <c r="AN23" s="1172">
        <f>IF(ISNUMBER('Resol  Asuntos'!D23/NºAsuntos!G23),'Resol  Asuntos'!D23/NºAsuntos!G23," - ")</f>
        <v>0.13336367774237598</v>
      </c>
      <c r="AO23" s="1173">
        <f>IF(ISNUMBER((NºAsuntos!C23+NºAsuntos!E23)/NºAsuntos!G23),(NºAsuntos!C23+NºAsuntos!E23)/NºAsuntos!G23," - ")</f>
        <v>1.4673038992565619</v>
      </c>
      <c r="AP23" s="1174" t="str">
        <f t="shared" si="2"/>
        <v xml:space="preserve"> - </v>
      </c>
      <c r="AQ23" s="1174">
        <f>IF(ISNUMBER((H23-W23+K23)/(F23)),(H23-W23+K23)/(F23)," - ")</f>
        <v>-2.3674568965517242</v>
      </c>
      <c r="AR23" s="1175">
        <f>IF(ISNUMBER((Datos!P23-Datos!Q23)/(Datos!R23-Datos!P23+Datos!Q23)),(Datos!P23-Datos!Q23)/(Datos!R23-Datos!P23+Datos!Q23)," - ")</f>
        <v>5.089820359281437E-2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2866</v>
      </c>
      <c r="G31" s="1118">
        <f t="shared" si="20"/>
        <v>3232</v>
      </c>
      <c r="H31" s="1117">
        <f t="shared" si="20"/>
        <v>0</v>
      </c>
      <c r="I31" s="1119">
        <f t="shared" si="20"/>
        <v>0</v>
      </c>
      <c r="J31" s="1119">
        <f t="shared" si="20"/>
        <v>0</v>
      </c>
      <c r="K31" s="1180">
        <f t="shared" si="20"/>
        <v>0</v>
      </c>
      <c r="L31" s="1119">
        <f t="shared" si="20"/>
        <v>1137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6640</v>
      </c>
      <c r="X31" s="1118">
        <f t="shared" si="21"/>
        <v>644</v>
      </c>
      <c r="Y31" s="1125">
        <f t="shared" si="21"/>
        <v>7284</v>
      </c>
      <c r="Z31" s="1125">
        <f t="shared" si="21"/>
        <v>0</v>
      </c>
      <c r="AA31" s="1125">
        <f t="shared" si="21"/>
        <v>3188</v>
      </c>
      <c r="AB31" s="1125">
        <f t="shared" si="21"/>
        <v>10095</v>
      </c>
      <c r="AC31" s="1125">
        <f t="shared" si="21"/>
        <v>3586</v>
      </c>
      <c r="AD31" s="1125">
        <f t="shared" si="21"/>
        <v>0</v>
      </c>
      <c r="AE31" s="1127">
        <f t="shared" si="21"/>
        <v>0</v>
      </c>
      <c r="AF31" s="1128">
        <f t="shared" si="21"/>
        <v>0</v>
      </c>
      <c r="AG31" s="1129">
        <f t="shared" si="21"/>
        <v>0</v>
      </c>
      <c r="AH31" s="1127">
        <f t="shared" si="21"/>
        <v>0</v>
      </c>
      <c r="AI31" s="1117">
        <f t="shared" si="21"/>
        <v>1847</v>
      </c>
      <c r="AJ31" s="1117">
        <f t="shared" si="21"/>
        <v>0</v>
      </c>
      <c r="AK31" s="1127">
        <f t="shared" si="21"/>
        <v>0</v>
      </c>
      <c r="AL31" s="1183">
        <f>IF(ISNUMBER(NºAsuntos!G31/NºAsuntos!E31),NºAsuntos!G31/NºAsuntos!E31," - ")</f>
        <v>0.92511352926056034</v>
      </c>
      <c r="AM31" s="1184">
        <f>IF(ISNUMBER(((NºAsuntos!I31/NºAsuntos!G31)*11)/factor_trimestre),((NºAsuntos!I31/NºAsuntos!G31)*11)/factor_trimestre," - ")</f>
        <v>8.9104380846531441</v>
      </c>
      <c r="AN31" s="1184">
        <f>IF(ISNUMBER('Resol  Asuntos'!D31/NºAsuntos!G31),'Resol  Asuntos'!D31/NºAsuntos!G31," - ")</f>
        <v>0.17106603686209132</v>
      </c>
      <c r="AO31" s="1185">
        <f>IF(ISNUMBER((NºAsuntos!C31+NºAsuntos!E31)/NºAsuntos!G31),(NºAsuntos!C31+NºAsuntos!E31)/NºAsuntos!G31," - ")</f>
        <v>1.8089284060387145</v>
      </c>
      <c r="AP31" s="1186" t="str">
        <f t="shared" si="2"/>
        <v xml:space="preserve"> - </v>
      </c>
      <c r="AQ31" s="1187">
        <f>IF(OR(ISNUMBER(FIND("01",Criterios!A8,1)),ISNUMBER(FIND("02",Criterios!A8,1)),ISNUMBER(FIND("03",Criterios!A8,1)),ISNUMBER(FIND("04",Criterios!A8,1))),(I31-W31+K31)/(F31-K31),(H31-W31+K31)/(F31-K31))</f>
        <v>-2.3168178646196789</v>
      </c>
      <c r="AR31" s="1188">
        <f>IF(ISNUMBER((Datos!P31-Datos!Q31)/(Datos!R31-Datos!P31+Datos!Q31)),(Datos!P31-Datos!Q31)/(Datos!R31-Datos!P31+Datos!Q31)," - ")</f>
        <v>5.1343470110393669E-2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1416.9537277789514</v>
      </c>
      <c r="G33" s="277">
        <f>IF(ISNUMBER(STDEV(G8:G30)),STDEV(G8:G30),"-")</f>
        <v>1396.6342705641609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2988.0534036153276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482.78292963075768</v>
      </c>
      <c r="AJ33" s="276">
        <f t="shared" si="25"/>
        <v>0</v>
      </c>
      <c r="AK33" s="278">
        <f t="shared" si="25"/>
        <v>0</v>
      </c>
      <c r="AL33" s="273">
        <f t="shared" si="25"/>
        <v>0.12144198138860832</v>
      </c>
      <c r="AM33" s="274">
        <f t="shared" si="25"/>
        <v>6.623780326266278</v>
      </c>
      <c r="AN33" s="274">
        <f t="shared" si="25"/>
        <v>0.11841978390063468</v>
      </c>
      <c r="AO33" s="275">
        <f t="shared" si="25"/>
        <v>0.60030792345159201</v>
      </c>
      <c r="AP33" s="317" t="str">
        <f t="shared" si="25"/>
        <v>-</v>
      </c>
      <c r="AQ33" s="318">
        <f t="shared" si="25"/>
        <v>1.2515054076924754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bcaGH6xgam94APRwX5XbW4Uws1o4b9NkhBbDSiBOHsWc3c99XT94xOt9+4XrQhad3+KzH5XwBJEexFmlL16ag==" saltValue="h6tB+hbNs7/ZFfCTkFUR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BLANES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-7.8651685393258425E-2</v>
      </c>
      <c r="E10" s="393">
        <f>IF(ISNUMBER((Datos!J10-Datos!T10)/Datos!T10),(Datos!J10-Datos!T10)/Datos!T10," - ")</f>
        <v>-0.26582278481012656</v>
      </c>
      <c r="F10" s="393">
        <f>IF(ISNUMBER((Datos!K10-Datos!U10)/Datos!U10),(Datos!K10-Datos!U10)/Datos!U10," - ")</f>
        <v>-0.41666666666666669</v>
      </c>
      <c r="G10" s="394">
        <f>IF(ISNUMBER((Datos!L10-Datos!V10)/Datos!V10),(Datos!L10-Datos!V10)/Datos!V10," - ")</f>
        <v>0.10975609756097561</v>
      </c>
      <c r="H10" s="244">
        <f>IF(ISNUMBER((Datos!M10-Datos!W10)/Datos!W10),(Datos!M10-Datos!W10)/Datos!W10," - ")</f>
        <v>-0.40625</v>
      </c>
      <c r="I10" s="395">
        <f>IF(ISNUMBER((Tasas!C10-Datos!BE10)/Datos!BE10),(Tasas!C10-Datos!BE10)/Datos!BE10," - ")</f>
        <v>0.90243902439024404</v>
      </c>
      <c r="J10" s="394">
        <f>IF(ISNUMBER((Tasas!D10-Datos!BF10)/Datos!BF10),(Tasas!D10-Datos!BF10)/Datos!BF10," - ")</f>
        <v>1.7857142857142877E-2</v>
      </c>
      <c r="K10" s="396">
        <f>IF(ISNUMBER((Tasas!E10-Datos!BG10)/Datos!BG10),(Tasas!E10-Datos!BG10)/Datos!BG10," - ")</f>
        <v>0.4285714285714286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0.31988873435326842</v>
      </c>
      <c r="I12" s="395">
        <f>IF(ISNUMBER((Tasas!C12-Datos!BE12)/Datos!BE12),(Tasas!C12-Datos!BE12)/Datos!BE12," - ")</f>
        <v>0.18390572784001491</v>
      </c>
      <c r="J12" s="394">
        <f>IF(ISNUMBER((Tasas!D12-Datos!BF12)/Datos!BF12),(Tasas!D12-Datos!BF12)/Datos!BF12," - ")</f>
        <v>-0.37380795735262434</v>
      </c>
      <c r="K12" s="396">
        <f>IF(ISNUMBER((Tasas!E12-Datos!BG12)/Datos!BG12),(Tasas!E12-Datos!BG12)/Datos!BG12," - ")</f>
        <v>0.10762278855688695</v>
      </c>
      <c r="M12" t="e">
        <f>IF(Monitorios="SI",Datos!CE12,0)</f>
        <v>#REF!</v>
      </c>
      <c r="N12" t="e">
        <f>IF(Monitorios="SI",Datos!CF12,0)</f>
        <v>#REF!</v>
      </c>
      <c r="O12" t="e">
        <f>IF(Monitorios="SI",Datos!CG12,0)</f>
        <v>#REF!</v>
      </c>
      <c r="P12" t="e">
        <f>IF(Monitorios="SI",Datos!CH12,0)</f>
        <v>#REF!</v>
      </c>
      <c r="Q12">
        <f>IF(J_V="SI",0,Datos!AG12)</f>
        <v>88</v>
      </c>
      <c r="R12">
        <f>IF(J_V="SI",0,Datos!AH12)</f>
        <v>231</v>
      </c>
      <c r="S12">
        <f>IF(J_V="SI",0,Datos!AI12)</f>
        <v>269</v>
      </c>
      <c r="T12">
        <f>IF(J_V="SI",0,Datos!AJ12)</f>
        <v>67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0.28894806924101196</v>
      </c>
      <c r="I14" s="402">
        <f>IF(ISNUMBER((Tasas!C14-Datos!BE14)/Datos!BE14),(Tasas!C14-Datos!BE14)/Datos!BE14," - ")</f>
        <v>0.19251933089217405</v>
      </c>
      <c r="J14" s="400">
        <f>IF(ISNUMBER((Tasas!D14-Datos!BF14)/Datos!BF14),(Tasas!D14-Datos!BF14)/Datos!BF14," - ")</f>
        <v>-0.36928147955644713</v>
      </c>
      <c r="K14" s="403">
        <f>IF(ISNUMBER((Tasas!E14-Datos!BG14)/Datos!BG14),(Tasas!E14-Datos!BG14)/Datos!BG14," - ")</f>
        <v>0.11166090461862659</v>
      </c>
      <c r="M14" t="e">
        <f>IF(Monitorios="SI",Datos!CE14,0)</f>
        <v>#REF!</v>
      </c>
      <c r="N14" t="e">
        <f>IF(Monitorios="SI",Datos!CF14,0)</f>
        <v>#REF!</v>
      </c>
      <c r="O14" t="e">
        <f>IF(Monitorios="SI",Datos!CG14,0)</f>
        <v>#REF!</v>
      </c>
      <c r="P14" t="e">
        <f>IF(Monitorios="SI",Datos!CH14,0)</f>
        <v>#REF!</v>
      </c>
      <c r="Q14">
        <f>IF(J_V="SI",0,Datos!AG14)</f>
        <v>88</v>
      </c>
      <c r="R14">
        <f>IF(J_V="SI",0,Datos!AH14)</f>
        <v>231</v>
      </c>
      <c r="S14">
        <f>IF(J_V="SI",0,Datos!AI14)</f>
        <v>269</v>
      </c>
      <c r="T14">
        <f>IF(J_V="SI",0,Datos!AJ14)</f>
        <v>67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-9.5003287310979623E-2</v>
      </c>
      <c r="E17" s="393">
        <f>IF(ISNUMBER(
   IF(D_I="SI",(Datos!J17-Datos!T17)/Datos!T17,(Datos!J17+Datos!AD17-(Datos!T17+Datos!AL17))/(Datos!T17+Datos!AL17))
     ),IF(D_I="SI",(Datos!J17-Datos!T17)/Datos!T17,(Datos!J17+Datos!AD17-(Datos!T17+Datos!AL17))/(Datos!T17+Datos!AL17))," - ")</f>
        <v>6.8696755483052388E-2</v>
      </c>
      <c r="F17" s="393">
        <f>IF(ISNUMBER(
   IF(D_I="SI",(Datos!K17-Datos!U17)/Datos!U17,(Datos!K17+Datos!AE17-(Datos!U17+Datos!AM17))/(Datos!U17+Datos!AM17))
     ),IF(D_I="SI",(Datos!K17-Datos!U17)/Datos!U17,(Datos!K17+Datos!AE17-(Datos!U17+Datos!AM17))/(Datos!U17+Datos!AM17))," - ")</f>
        <v>2.9293809938971228E-2</v>
      </c>
      <c r="G17" s="394">
        <f>IF(ISNUMBER(
   IF(D_I="SI",(Datos!L17-Datos!V17)/Datos!V17,(Datos!L17+Datos!AF17-(Datos!V17+Datos!AN17))/(Datos!V17+Datos!AN17))
     ),IF(D_I="SI",(Datos!L17-Datos!V17)/Datos!V17,(Datos!L17+Datos!AF17-(Datos!V17+Datos!AN17))/(Datos!V17+Datos!AN17))," - ")</f>
        <v>8.7177624409734839E-3</v>
      </c>
      <c r="H17" s="244">
        <f>IF(ISNUMBER((Datos!M17-Datos!W17)/Datos!W17),(Datos!M17-Datos!W17)/Datos!W17," - ")</f>
        <v>-0.13238289205702647</v>
      </c>
      <c r="I17" s="395">
        <f>IF(ISNUMBER((Tasas!C17-Datos!BE17)/Datos!BE17),(Tasas!C17-Datos!BE17)/Datos!BE17," - ")</f>
        <v>-1.9990451025074872E-2</v>
      </c>
      <c r="J17" s="394">
        <f>IF(ISNUMBER((Tasas!D17-Datos!BF17)/Datos!BF17),(Tasas!D17-Datos!BF17)/Datos!BF17," - ")</f>
        <v>-0.15707536607607103</v>
      </c>
      <c r="K17" s="396">
        <f>IF(ISNUMBER((Tasas!E17-Datos!BG17)/Datos!BG17),(Tasas!E17-Datos!BG17)/Datos!BG17," - ")</f>
        <v>-1.8244122960165966E-2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-5.4761904761904762E-2</v>
      </c>
      <c r="E18" s="393">
        <f>IF(ISNUMBER(
   IF(D_I="SI",(Datos!J18-Datos!T18)/Datos!T18,(Datos!J18+Datos!AD18-(Datos!T18+Datos!AL18))/(Datos!T18+Datos!AL18))
     ),IF(D_I="SI",(Datos!J18-Datos!T18)/Datos!T18,(Datos!J18+Datos!AD18-(Datos!T18+Datos!AL18))/(Datos!T18+Datos!AL18))," - ")</f>
        <v>0.10619469026548672</v>
      </c>
      <c r="F18" s="393">
        <f>IF(ISNUMBER(
   IF(D_I="SI",(Datos!K18-Datos!U18)/Datos!U18,(Datos!K18+Datos!AE18-(Datos!U18+Datos!AM18))/(Datos!U18+Datos!AM18))
     ),IF(D_I="SI",(Datos!K18-Datos!U18)/Datos!U18,(Datos!K18+Datos!AE18-(Datos!U18+Datos!AM18))/(Datos!U18+Datos!AM18))," - ")</f>
        <v>0.16610169491525423</v>
      </c>
      <c r="G18" s="394">
        <f>IF(ISNUMBER(
   IF(D_I="SI",(Datos!L18-Datos!V18)/Datos!V18,(Datos!L18+Datos!AF18-(Datos!V18+Datos!AN18))/(Datos!V18+Datos!AN18))
     ),IF(D_I="SI",(Datos!L18-Datos!V18)/Datos!V18,(Datos!L18+Datos!AF18-(Datos!V18+Datos!AN18))/(Datos!V18+Datos!AN18))," - ")</f>
        <v>-0.19395465994962216</v>
      </c>
      <c r="H18" s="244">
        <f>IF(ISNUMBER((Datos!M18-Datos!W18)/Datos!W18),(Datos!M18-Datos!W18)/Datos!W18," - ")</f>
        <v>0.22727272727272727</v>
      </c>
      <c r="I18" s="395">
        <f>IF(ISNUMBER((Tasas!C18-Datos!BE18)/Datos!BE18),(Tasas!C18-Datos!BE18)/Datos!BE18," - ")</f>
        <v>-0.30876925780563536</v>
      </c>
      <c r="J18" s="394">
        <f>IF(ISNUMBER((Tasas!D18-Datos!BF18)/Datos!BF18),(Tasas!D18-Datos!BF18)/Datos!BF18," - ")</f>
        <v>5.2457716701902704E-2</v>
      </c>
      <c r="K18" s="396">
        <f>IF(ISNUMBER((Tasas!E18-Datos!BG18)/Datos!BG18),(Tasas!E18-Datos!BG18)/Datos!BG18," - ")</f>
        <v>-0.11022901664502421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-9.0121317157712308E-2</v>
      </c>
      <c r="E23" s="399">
        <f>IF(ISNUMBER(
   IF(D_I="SI",(Datos!J23-Datos!T23)/Datos!T23,(Datos!J23+Datos!AD23-(Datos!T23+Datos!AL23))/(Datos!T23+Datos!AL23))
     ),IF(D_I="SI",(Datos!J23-Datos!T23)/Datos!T23,(Datos!J23+Datos!AD23-(Datos!T23+Datos!AL23))/(Datos!T23+Datos!AL23))," - ")</f>
        <v>7.2180203880302538E-2</v>
      </c>
      <c r="F23" s="399">
        <f>IF(ISNUMBER(
   IF(D_I="SI",(Datos!K23-Datos!U23)/Datos!U23,(Datos!K23+Datos!AE23-(Datos!U23+Datos!AM23))/(Datos!U23+Datos!AM23))
     ),IF(D_I="SI",(Datos!K23-Datos!U23)/Datos!U23,(Datos!K23+Datos!AE23-(Datos!U23+Datos!AM23))/(Datos!U23+Datos!AM23))," - ")</f>
        <v>4.2055335968379445E-2</v>
      </c>
      <c r="G23" s="400">
        <f>IF(ISNUMBER(
   IF(D_I="SI",(Datos!L23-Datos!V23)/Datos!V23,(Datos!L23+Datos!AF23-(Datos!V23+Datos!AN23))/(Datos!V23+Datos!AN23))
     ),IF(D_I="SI",(Datos!L23-Datos!V23)/Datos!V23,(Datos!L23+Datos!AF23-(Datos!V23+Datos!AN23))/(Datos!V23+Datos!AN23))," - ")</f>
        <v>-1.6825396825396827E-2</v>
      </c>
      <c r="H23" s="401">
        <f>IF(ISNUMBER((Datos!M23-Datos!W23)/Datos!W23),(Datos!M23-Datos!W23)/Datos!W23," - ")</f>
        <v>-0.12450199203187251</v>
      </c>
      <c r="I23" s="402">
        <f>IF(ISNUMBER((Tasas!C23-Datos!BE23)/Datos!BE23),(Tasas!C23-Datos!BE23)/Datos!BE23," - ")</f>
        <v>-5.6504420409745855E-2</v>
      </c>
      <c r="J23" s="400">
        <f>IF(ISNUMBER((Tasas!D23-Datos!BF23)/Datos!BF23),(Tasas!D23-Datos!BF23)/Datos!BF23," - ")</f>
        <v>-0.15983539669270108</v>
      </c>
      <c r="K23" s="403">
        <f>IF(ISNUMBER((Tasas!E23-Datos!BG23)/Datos!BG23),(Tasas!E23-Datos!BG23)/Datos!BG23," - ")</f>
        <v>-2.7588310687578211E-2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-1.0574018126888218E-2</v>
      </c>
      <c r="E31" s="409">
        <f>IF(ISNUMBER(
   IF(J_V="SI",(Datos!J31-Datos!T31)/Datos!T31,(Datos!J31+Datos!Z31-(Datos!T31+Datos!AH31))/(Datos!T31+Datos!AH31))
     ),IF(J_V="SI",(Datos!J31-Datos!T31)/Datos!T31,(Datos!J31+Datos!Z31-(Datos!T31+Datos!AH31))/(Datos!T31+Datos!AH31))," - ")</f>
        <v>0.1201650830214032</v>
      </c>
      <c r="F31" s="409">
        <f>IF(ISNUMBER(
   IF(J_V="SI",(Datos!K31-Datos!U31)/Datos!U31,(Datos!K31+Datos!AA31-(Datos!U31+Datos!AI31))/(Datos!U31+Datos!AI31))
     ),IF(J_V="SI",(Datos!K31-Datos!U31)/Datos!U31,(Datos!K31+Datos!AA31-(Datos!U31+Datos!AI31))/(Datos!U31+Datos!AI31))," - ")</f>
        <v>2.7600647187589228E-2</v>
      </c>
      <c r="G31" s="410">
        <f>IF(ISNUMBER(
   IF(J_V="SI",(Datos!L31-Datos!V31)/Datos!V31,(Datos!L31+Datos!AB31-(Datos!V31+Datos!AJ31))/(Datos!V31+Datos!AJ31))
     ),IF(J_V="SI",(Datos!L31-Datos!V31)/Datos!V31,(Datos!L31+Datos!AB31-(Datos!V31+Datos!AJ31))/(Datos!V31+Datos!AJ31))," - ")</f>
        <v>0.11272264631043256</v>
      </c>
      <c r="H31" s="411">
        <f>IF(ISNUMBER((Datos!M31-Datos!W31)/Datos!W31),(Datos!M31-Datos!W31)/Datos!W31," - ")</f>
        <v>5.242165242165242E-2</v>
      </c>
      <c r="I31" s="408">
        <f>IF(ISNUMBER((Tasas!C31-Datos!BE31)/Datos!BE31),(Tasas!C31-Datos!BE31)/Datos!BE31," - ")</f>
        <v>8.2835680724619373E-2</v>
      </c>
      <c r="J31" s="409">
        <f>IF(ISNUMBER((Tasas!D31-Datos!BF31)/Datos!BF31),(Tasas!D31-Datos!BF31)/Datos!BF31," - ")</f>
        <v>-0.28956883426482471</v>
      </c>
      <c r="K31" s="410">
        <f>IF(ISNUMBER((Tasas!E31-Datos!BG31)/Datos!BG31),(Tasas!E31-Datos!BG31)/Datos!BG31," - ")</f>
        <v>3.5038433929574272E-2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1.7942360267713647E-2</v>
      </c>
      <c r="E33" s="303">
        <f t="shared" si="1"/>
        <v>0.17490987197529964</v>
      </c>
      <c r="F33" s="303">
        <f t="shared" si="1"/>
        <v>0.2554721672320639</v>
      </c>
      <c r="G33" s="304">
        <f t="shared" si="1"/>
        <v>0.12635109277672818</v>
      </c>
      <c r="H33" s="310">
        <f t="shared" si="1"/>
        <v>0.29344540055605334</v>
      </c>
      <c r="I33" s="302">
        <f t="shared" si="1"/>
        <v>0.41258337618866237</v>
      </c>
      <c r="J33" s="303">
        <f t="shared" si="1"/>
        <v>0.18228863685867658</v>
      </c>
      <c r="K33" s="304">
        <f t="shared" si="1"/>
        <v>0.19008341402171061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uqwOgQ64bInGrh6ngccBWsJj3cboxynnhTU3i0zimohCkR3vzV/jgJhWQjlWFbcqyrgFpU62CJkB/Tcv8CLHg==" saltValue="/f0SM/0wEHNlW4jZb4QHP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